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NNORENA\AppData\Local\Microsoft\Windows\INetCache\Content.Outlook\2S9PQTTZ\"/>
    </mc:Choice>
  </mc:AlternateContent>
  <xr:revisionPtr revIDLastSave="0" documentId="8_{D6A755B0-56D5-4660-9AF6-1380D91D14E6}" xr6:coauthVersionLast="47" xr6:coauthVersionMax="47" xr10:uidLastSave="{00000000-0000-0000-0000-000000000000}"/>
  <bookViews>
    <workbookView xWindow="25080" yWindow="-120" windowWidth="25440" windowHeight="15390" xr2:uid="{F27A28B7-A139-46B6-8E1D-D93441D379E1}"/>
  </bookViews>
  <sheets>
    <sheet name="Grupo Aval" sheetId="1" r:id="rId1"/>
  </sheets>
  <definedNames>
    <definedName name="_xlnm._FilterDatabase" localSheetId="0" hidden="1">'Grupo Aval'!$B$14:$U$14</definedName>
    <definedName name="_xlnm.Print_Area" localSheetId="0">'Grupo Aval'!$A$1:$A$96,'Grupo Aval'!$A$98:$A$179,'Grupo Aval'!$A$209:$A$233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69" i="1" l="1"/>
  <c r="T269" i="1"/>
  <c r="T268" i="1" s="1"/>
  <c r="U269" i="1"/>
  <c r="Q269" i="1"/>
  <c r="N269" i="1"/>
  <c r="L269" i="1"/>
  <c r="E269" i="1"/>
  <c r="N263" i="1"/>
  <c r="K263" i="1"/>
  <c r="T263" i="1"/>
  <c r="S263" i="1"/>
  <c r="P263" i="1"/>
  <c r="M263" i="1"/>
  <c r="J263" i="1"/>
  <c r="H263" i="1"/>
  <c r="G263" i="1"/>
  <c r="D263" i="1"/>
  <c r="U263" i="1"/>
  <c r="R263" i="1"/>
  <c r="Q263" i="1"/>
  <c r="O263" i="1"/>
  <c r="L263" i="1"/>
  <c r="I263" i="1"/>
  <c r="F263" i="1"/>
  <c r="E263" i="1"/>
  <c r="C263" i="1"/>
  <c r="Q257" i="1"/>
  <c r="E257" i="1"/>
  <c r="R257" i="1"/>
  <c r="P257" i="1"/>
  <c r="N257" i="1"/>
  <c r="M257" i="1"/>
  <c r="K257" i="1"/>
  <c r="J257" i="1"/>
  <c r="F257" i="1"/>
  <c r="D257" i="1"/>
  <c r="U257" i="1"/>
  <c r="T257" i="1"/>
  <c r="S257" i="1"/>
  <c r="O257" i="1"/>
  <c r="L257" i="1"/>
  <c r="I257" i="1"/>
  <c r="H257" i="1"/>
  <c r="G257" i="1"/>
  <c r="C257" i="1"/>
  <c r="M124" i="1"/>
  <c r="M118" i="1"/>
  <c r="M68" i="1"/>
  <c r="M55" i="1"/>
  <c r="M24" i="1"/>
  <c r="M26" i="1" s="1"/>
  <c r="U102" i="1"/>
  <c r="U198" i="1" s="1"/>
  <c r="T102" i="1"/>
  <c r="T198" i="1" s="1"/>
  <c r="S102" i="1"/>
  <c r="R102" i="1"/>
  <c r="Q102" i="1"/>
  <c r="P102" i="1"/>
  <c r="O102" i="1"/>
  <c r="N102" i="1"/>
  <c r="M102" i="1"/>
  <c r="L102" i="1"/>
  <c r="K102" i="1"/>
  <c r="J102" i="1"/>
  <c r="I102" i="1"/>
  <c r="H102" i="1"/>
  <c r="G102" i="1"/>
  <c r="E102" i="1"/>
  <c r="D102" i="1"/>
  <c r="C102" i="1"/>
  <c r="T256" i="1" l="1"/>
  <c r="O256" i="1"/>
  <c r="H256" i="1"/>
  <c r="N256" i="1"/>
  <c r="O201" i="1" s="1"/>
  <c r="C256" i="1"/>
  <c r="U256" i="1"/>
  <c r="U203" i="1" s="1"/>
  <c r="F102" i="1"/>
  <c r="D198" i="1"/>
  <c r="C224" i="1"/>
  <c r="C223" i="1"/>
  <c r="R198" i="1"/>
  <c r="G198" i="1"/>
  <c r="S198" i="1"/>
  <c r="M20" i="1"/>
  <c r="H198" i="1"/>
  <c r="Q252" i="1"/>
  <c r="O246" i="1"/>
  <c r="Q198" i="1"/>
  <c r="O247" i="1"/>
  <c r="F252" i="1"/>
  <c r="R252" i="1"/>
  <c r="U30" i="1"/>
  <c r="U20" i="1"/>
  <c r="J198" i="1"/>
  <c r="L20" i="1"/>
  <c r="O24" i="1"/>
  <c r="O26" i="1" s="1"/>
  <c r="I198" i="1"/>
  <c r="K198" i="1"/>
  <c r="U24" i="1"/>
  <c r="U26" i="1" s="1"/>
  <c r="M30" i="1"/>
  <c r="P198" i="1"/>
  <c r="E198" i="1"/>
  <c r="L198" i="1"/>
  <c r="M198" i="1"/>
  <c r="E252" i="1"/>
  <c r="C246" i="1"/>
  <c r="T174" i="1"/>
  <c r="T86" i="1"/>
  <c r="T73" i="1"/>
  <c r="T94" i="1"/>
  <c r="T55" i="1"/>
  <c r="T68" i="1"/>
  <c r="T229" i="1" s="1"/>
  <c r="T42" i="1"/>
  <c r="N198" i="1"/>
  <c r="M229" i="1"/>
  <c r="D20" i="1"/>
  <c r="L246" i="1"/>
  <c r="N24" i="1"/>
  <c r="I50" i="1"/>
  <c r="N252" i="1"/>
  <c r="U140" i="1"/>
  <c r="U142" i="1" s="1"/>
  <c r="U94" i="1"/>
  <c r="U86" i="1"/>
  <c r="U42" i="1"/>
  <c r="U55" i="1"/>
  <c r="C198" i="1"/>
  <c r="O198" i="1"/>
  <c r="E20" i="1"/>
  <c r="N246" i="1"/>
  <c r="M50" i="1"/>
  <c r="M223" i="1"/>
  <c r="M224" i="1"/>
  <c r="M42" i="1"/>
  <c r="N247" i="1"/>
  <c r="M73" i="1"/>
  <c r="M86" i="1"/>
  <c r="M59" i="1"/>
  <c r="M82" i="1"/>
  <c r="M125" i="1"/>
  <c r="M94" i="1"/>
  <c r="M189" i="1" s="1"/>
  <c r="M168" i="1"/>
  <c r="M140" i="1"/>
  <c r="M222" i="1"/>
  <c r="M132" i="1"/>
  <c r="M159" i="1"/>
  <c r="M174" i="1"/>
  <c r="M219" i="1"/>
  <c r="U268" i="1"/>
  <c r="U205" i="1" s="1"/>
  <c r="F256" i="1"/>
  <c r="R256" i="1"/>
  <c r="H269" i="1"/>
  <c r="G256" i="1"/>
  <c r="S256" i="1"/>
  <c r="N268" i="1"/>
  <c r="I256" i="1"/>
  <c r="J256" i="1"/>
  <c r="K256" i="1"/>
  <c r="J269" i="1"/>
  <c r="M256" i="1"/>
  <c r="E256" i="1"/>
  <c r="Q256" i="1"/>
  <c r="D269" i="1"/>
  <c r="P269" i="1"/>
  <c r="M268" i="1"/>
  <c r="L268" i="1"/>
  <c r="D256" i="1"/>
  <c r="P256" i="1"/>
  <c r="F269" i="1"/>
  <c r="R269" i="1"/>
  <c r="O269" i="1"/>
  <c r="L256" i="1"/>
  <c r="G269" i="1"/>
  <c r="S269" i="1"/>
  <c r="I269" i="1"/>
  <c r="E268" i="1"/>
  <c r="Q268" i="1"/>
  <c r="K269" i="1"/>
  <c r="O202" i="1" l="1"/>
  <c r="M205" i="1"/>
  <c r="L203" i="1"/>
  <c r="U204" i="1"/>
  <c r="U201" i="1"/>
  <c r="U202" i="1"/>
  <c r="S204" i="1"/>
  <c r="O204" i="1"/>
  <c r="I174" i="1"/>
  <c r="G42" i="1"/>
  <c r="F159" i="1"/>
  <c r="R174" i="1"/>
  <c r="R268" i="1"/>
  <c r="R205" i="1" s="1"/>
  <c r="R203" i="1"/>
  <c r="J268" i="1"/>
  <c r="J205" i="1" s="1"/>
  <c r="J203" i="1"/>
  <c r="Q201" i="1"/>
  <c r="P204" i="1"/>
  <c r="Q202" i="1"/>
  <c r="P201" i="1"/>
  <c r="Q203" i="1"/>
  <c r="U159" i="1"/>
  <c r="I42" i="1"/>
  <c r="M202" i="1"/>
  <c r="M204" i="1"/>
  <c r="M203" i="1"/>
  <c r="M201" i="1"/>
  <c r="L205" i="1"/>
  <c r="J204" i="1"/>
  <c r="I204" i="1"/>
  <c r="J202" i="1"/>
  <c r="J201" i="1"/>
  <c r="I202" i="1"/>
  <c r="I201" i="1"/>
  <c r="O268" i="1"/>
  <c r="O205" i="1" s="1"/>
  <c r="O203" i="1"/>
  <c r="N202" i="1"/>
  <c r="N204" i="1"/>
  <c r="N203" i="1"/>
  <c r="N201" i="1"/>
  <c r="P252" i="1"/>
  <c r="O20" i="1"/>
  <c r="U68" i="1"/>
  <c r="U229" i="1" s="1"/>
  <c r="I59" i="1"/>
  <c r="T82" i="1"/>
  <c r="T222" i="1"/>
  <c r="T132" i="1"/>
  <c r="T159" i="1"/>
  <c r="G55" i="1"/>
  <c r="G94" i="1"/>
  <c r="G189" i="1" s="1"/>
  <c r="E68" i="1"/>
  <c r="E229" i="1" s="1"/>
  <c r="E124" i="1"/>
  <c r="R124" i="1"/>
  <c r="L252" i="1"/>
  <c r="K20" i="1"/>
  <c r="Q42" i="1"/>
  <c r="Q118" i="1"/>
  <c r="Q168" i="1"/>
  <c r="B59" i="1"/>
  <c r="F245" i="1"/>
  <c r="E30" i="1"/>
  <c r="E36" i="1" s="1"/>
  <c r="E225" i="1" s="1"/>
  <c r="P124" i="1"/>
  <c r="D245" i="1"/>
  <c r="C30" i="1"/>
  <c r="C73" i="1"/>
  <c r="K245" i="1"/>
  <c r="J30" i="1"/>
  <c r="J36" i="1" s="1"/>
  <c r="J225" i="1" s="1"/>
  <c r="O140" i="1"/>
  <c r="O168" i="1"/>
  <c r="N82" i="1"/>
  <c r="N94" i="1"/>
  <c r="N124" i="1"/>
  <c r="N222" i="1"/>
  <c r="N132" i="1"/>
  <c r="L94" i="1"/>
  <c r="L189" i="1" s="1"/>
  <c r="K124" i="1"/>
  <c r="T224" i="1"/>
  <c r="T223" i="1"/>
  <c r="Q59" i="1"/>
  <c r="J42" i="1"/>
  <c r="D252" i="1"/>
  <c r="C20" i="1"/>
  <c r="U189" i="1"/>
  <c r="H82" i="1"/>
  <c r="H94" i="1"/>
  <c r="H189" i="1" s="1"/>
  <c r="J82" i="1"/>
  <c r="J140" i="1"/>
  <c r="J174" i="1"/>
  <c r="J219" i="1" s="1"/>
  <c r="I73" i="1"/>
  <c r="I140" i="1"/>
  <c r="M246" i="1"/>
  <c r="L24" i="1"/>
  <c r="T189" i="1"/>
  <c r="T168" i="1"/>
  <c r="G59" i="1"/>
  <c r="G168" i="1"/>
  <c r="G174" i="1"/>
  <c r="G219" i="1" s="1"/>
  <c r="S82" i="1"/>
  <c r="S140" i="1"/>
  <c r="F73" i="1"/>
  <c r="F86" i="1"/>
  <c r="E50" i="1"/>
  <c r="E59" i="1"/>
  <c r="E118" i="1"/>
  <c r="R68" i="1"/>
  <c r="R229" i="1" s="1"/>
  <c r="R94" i="1"/>
  <c r="R189" i="1" s="1"/>
  <c r="R140" i="1"/>
  <c r="Q174" i="1"/>
  <c r="Q219" i="1" s="1"/>
  <c r="D140" i="1"/>
  <c r="U246" i="1"/>
  <c r="T24" i="1"/>
  <c r="T26" i="1" s="1"/>
  <c r="P86" i="1"/>
  <c r="P140" i="1"/>
  <c r="C55" i="1"/>
  <c r="C124" i="1"/>
  <c r="P245" i="1"/>
  <c r="O30" i="1"/>
  <c r="O36" i="1" s="1"/>
  <c r="O225" i="1" s="1"/>
  <c r="O50" i="1"/>
  <c r="N73" i="1"/>
  <c r="L68" i="1"/>
  <c r="K42" i="1"/>
  <c r="K59" i="1"/>
  <c r="K68" i="1"/>
  <c r="Q82" i="1"/>
  <c r="O245" i="1"/>
  <c r="N30" i="1"/>
  <c r="N36" i="1" s="1"/>
  <c r="N225" i="1" s="1"/>
  <c r="N55" i="1"/>
  <c r="N168" i="1"/>
  <c r="L55" i="1"/>
  <c r="L82" i="1"/>
  <c r="L73" i="1"/>
  <c r="K73" i="1"/>
  <c r="S245" i="1"/>
  <c r="R30" i="1"/>
  <c r="G222" i="1"/>
  <c r="G132" i="1"/>
  <c r="S118" i="1"/>
  <c r="F94" i="1"/>
  <c r="E82" i="1"/>
  <c r="E159" i="1"/>
  <c r="E174" i="1"/>
  <c r="E219" i="1" s="1"/>
  <c r="K246" i="1"/>
  <c r="J24" i="1"/>
  <c r="S247" i="1"/>
  <c r="R73" i="1"/>
  <c r="R168" i="1"/>
  <c r="E247" i="1"/>
  <c r="D223" i="1"/>
  <c r="D224" i="1"/>
  <c r="D94" i="1"/>
  <c r="P246" i="1"/>
  <c r="C59" i="1"/>
  <c r="C82" i="1"/>
  <c r="O42" i="1"/>
  <c r="O59" i="1"/>
  <c r="O124" i="1"/>
  <c r="R55" i="1"/>
  <c r="B24" i="1"/>
  <c r="N59" i="1"/>
  <c r="L59" i="1"/>
  <c r="L168" i="1"/>
  <c r="L174" i="1"/>
  <c r="L219" i="1" s="1"/>
  <c r="K50" i="1"/>
  <c r="K118" i="1"/>
  <c r="K159" i="1"/>
  <c r="E223" i="1"/>
  <c r="E224" i="1"/>
  <c r="P42" i="1"/>
  <c r="I245" i="1"/>
  <c r="H30" i="1"/>
  <c r="H36" i="1" s="1"/>
  <c r="H225" i="1" s="1"/>
  <c r="H59" i="1"/>
  <c r="J222" i="1"/>
  <c r="J132" i="1"/>
  <c r="P268" i="1"/>
  <c r="P205" i="1" s="1"/>
  <c r="P203" i="1"/>
  <c r="L202" i="1"/>
  <c r="L201" i="1"/>
  <c r="L204" i="1"/>
  <c r="N205" i="1"/>
  <c r="S201" i="1"/>
  <c r="S202" i="1"/>
  <c r="M178" i="1"/>
  <c r="U50" i="1"/>
  <c r="U73" i="1"/>
  <c r="U124" i="1"/>
  <c r="U168" i="1"/>
  <c r="H42" i="1"/>
  <c r="H73" i="1"/>
  <c r="J224" i="1"/>
  <c r="J223" i="1"/>
  <c r="J86" i="1"/>
  <c r="I224" i="1"/>
  <c r="I223" i="1"/>
  <c r="I94" i="1"/>
  <c r="I189" i="1" s="1"/>
  <c r="G73" i="1"/>
  <c r="J247" i="1"/>
  <c r="S174" i="1"/>
  <c r="F68" i="1"/>
  <c r="F229" i="1" s="1"/>
  <c r="F222" i="1"/>
  <c r="F132" i="1"/>
  <c r="R50" i="1"/>
  <c r="R118" i="1"/>
  <c r="R219" i="1"/>
  <c r="Q222" i="1"/>
  <c r="Q132" i="1"/>
  <c r="E245" i="1"/>
  <c r="D30" i="1"/>
  <c r="D159" i="1"/>
  <c r="U36" i="1"/>
  <c r="U225" i="1" s="1"/>
  <c r="P20" i="1"/>
  <c r="Q247" i="1"/>
  <c r="P50" i="1"/>
  <c r="P168" i="1"/>
  <c r="C94" i="1"/>
  <c r="C189" i="1" s="1"/>
  <c r="C118" i="1"/>
  <c r="C140" i="1"/>
  <c r="C159" i="1"/>
  <c r="O222" i="1"/>
  <c r="O132" i="1"/>
  <c r="U252" i="1"/>
  <c r="T20" i="1"/>
  <c r="N42" i="1"/>
  <c r="N189" i="1"/>
  <c r="N118" i="1"/>
  <c r="N159" i="1"/>
  <c r="K86" i="1"/>
  <c r="K82" i="1"/>
  <c r="G247" i="1"/>
  <c r="E222" i="1"/>
  <c r="E132" i="1"/>
  <c r="R42" i="1"/>
  <c r="R159" i="1"/>
  <c r="K24" i="1"/>
  <c r="K26" i="1" s="1"/>
  <c r="Q223" i="1"/>
  <c r="Q224" i="1"/>
  <c r="D42" i="1"/>
  <c r="B86" i="1"/>
  <c r="D247" i="1"/>
  <c r="Q245" i="1"/>
  <c r="P30" i="1"/>
  <c r="P55" i="1"/>
  <c r="P82" i="1"/>
  <c r="P94" i="1"/>
  <c r="P189" i="1" s="1"/>
  <c r="P222" i="1"/>
  <c r="P132" i="1"/>
  <c r="O86" i="1"/>
  <c r="O68" i="1"/>
  <c r="I252" i="1"/>
  <c r="H20" i="1"/>
  <c r="N50" i="1"/>
  <c r="T252" i="1"/>
  <c r="S20" i="1"/>
  <c r="L42" i="1"/>
  <c r="L124" i="1"/>
  <c r="L159" i="1"/>
  <c r="K223" i="1"/>
  <c r="K224" i="1"/>
  <c r="K140" i="1"/>
  <c r="H55" i="1"/>
  <c r="R82" i="1"/>
  <c r="I246" i="1"/>
  <c r="H24" i="1"/>
  <c r="H26" i="1" s="1"/>
  <c r="U224" i="1"/>
  <c r="U223" i="1"/>
  <c r="K268" i="1"/>
  <c r="K205" i="1" s="1"/>
  <c r="K203" i="1"/>
  <c r="F268" i="1"/>
  <c r="H174" i="1"/>
  <c r="H219" i="1" s="1"/>
  <c r="G82" i="1"/>
  <c r="S224" i="1"/>
  <c r="S223" i="1"/>
  <c r="Q205" i="1"/>
  <c r="H140" i="1"/>
  <c r="K247" i="1"/>
  <c r="J55" i="1"/>
  <c r="I55" i="1"/>
  <c r="I68" i="1"/>
  <c r="I229" i="1" s="1"/>
  <c r="I86" i="1"/>
  <c r="I159" i="1"/>
  <c r="O252" i="1"/>
  <c r="N20" i="1"/>
  <c r="U245" i="1"/>
  <c r="T30" i="1"/>
  <c r="T36" i="1" s="1"/>
  <c r="T124" i="1"/>
  <c r="G118" i="1"/>
  <c r="S86" i="1"/>
  <c r="F82" i="1"/>
  <c r="F124" i="1"/>
  <c r="F140" i="1"/>
  <c r="E73" i="1"/>
  <c r="E86" i="1"/>
  <c r="E140" i="1"/>
  <c r="E168" i="1"/>
  <c r="R59" i="1"/>
  <c r="Q86" i="1"/>
  <c r="Q159" i="1"/>
  <c r="D68" i="1"/>
  <c r="D86" i="1"/>
  <c r="D124" i="1"/>
  <c r="D222" i="1"/>
  <c r="D132" i="1"/>
  <c r="L245" i="1"/>
  <c r="K30" i="1"/>
  <c r="P73" i="1"/>
  <c r="T246" i="1"/>
  <c r="S24" i="1"/>
  <c r="O82" i="1"/>
  <c r="R223" i="1"/>
  <c r="R224" i="1"/>
  <c r="S246" i="1"/>
  <c r="R24" i="1"/>
  <c r="R246" i="1"/>
  <c r="Q24" i="1"/>
  <c r="Q26" i="1" s="1"/>
  <c r="H252" i="1"/>
  <c r="G20" i="1"/>
  <c r="L50" i="1"/>
  <c r="L118" i="1"/>
  <c r="S252" i="1"/>
  <c r="R20" i="1"/>
  <c r="F223" i="1"/>
  <c r="F224" i="1"/>
  <c r="T140" i="1"/>
  <c r="T142" i="1" s="1"/>
  <c r="R245" i="1"/>
  <c r="Q30" i="1"/>
  <c r="S68" i="1"/>
  <c r="S229" i="1" s="1"/>
  <c r="D268" i="1"/>
  <c r="G204" i="1"/>
  <c r="G201" i="1"/>
  <c r="G202" i="1"/>
  <c r="M247" i="1"/>
  <c r="T204" i="1"/>
  <c r="T201" i="1"/>
  <c r="T203" i="1"/>
  <c r="T202" i="1"/>
  <c r="T205" i="1"/>
  <c r="Q204" i="1"/>
  <c r="N253" i="1"/>
  <c r="T245" i="1"/>
  <c r="S30" i="1"/>
  <c r="S36" i="1" s="1"/>
  <c r="H118" i="1"/>
  <c r="H159" i="1"/>
  <c r="J68" i="1"/>
  <c r="J229" i="1" s="1"/>
  <c r="J168" i="1"/>
  <c r="I222" i="1"/>
  <c r="I132" i="1"/>
  <c r="C252" i="1"/>
  <c r="B20" i="1"/>
  <c r="T50" i="1"/>
  <c r="G140" i="1"/>
  <c r="G159" i="1"/>
  <c r="S222" i="1"/>
  <c r="S132" i="1"/>
  <c r="F55" i="1"/>
  <c r="R222" i="1"/>
  <c r="R132" i="1"/>
  <c r="J246" i="1"/>
  <c r="I24" i="1"/>
  <c r="D59" i="1"/>
  <c r="D50" i="1"/>
  <c r="C222" i="1"/>
  <c r="C132" i="1"/>
  <c r="C174" i="1"/>
  <c r="C219" i="1" s="1"/>
  <c r="H246" i="1"/>
  <c r="G24" i="1"/>
  <c r="G26" i="1" s="1"/>
  <c r="O94" i="1"/>
  <c r="O55" i="1"/>
  <c r="G246" i="1"/>
  <c r="F24" i="1"/>
  <c r="F26" i="1" s="1"/>
  <c r="N86" i="1"/>
  <c r="P224" i="1"/>
  <c r="P223" i="1"/>
  <c r="F246" i="1"/>
  <c r="E24" i="1"/>
  <c r="E26" i="1" s="1"/>
  <c r="L86" i="1"/>
  <c r="L140" i="1"/>
  <c r="G252" i="1"/>
  <c r="F20" i="1"/>
  <c r="K222" i="1"/>
  <c r="K132" i="1"/>
  <c r="P36" i="1"/>
  <c r="C42" i="1"/>
  <c r="U82" i="1"/>
  <c r="S73" i="1"/>
  <c r="Q73" i="1"/>
  <c r="Q124" i="1"/>
  <c r="Q140" i="1"/>
  <c r="D55" i="1"/>
  <c r="D73" i="1"/>
  <c r="D168" i="1"/>
  <c r="B50" i="1"/>
  <c r="B73" i="1"/>
  <c r="P59" i="1"/>
  <c r="P118" i="1"/>
  <c r="P159" i="1"/>
  <c r="O224" i="1"/>
  <c r="O223" i="1"/>
  <c r="O73" i="1"/>
  <c r="N140" i="1"/>
  <c r="M36" i="1"/>
  <c r="Q246" i="1"/>
  <c r="P24" i="1"/>
  <c r="P26" i="1" s="1"/>
  <c r="K174" i="1"/>
  <c r="K219" i="1" s="1"/>
  <c r="Q20" i="1"/>
  <c r="T78" i="1"/>
  <c r="G124" i="1"/>
  <c r="S168" i="1"/>
  <c r="F42" i="1"/>
  <c r="F118" i="1"/>
  <c r="R201" i="1"/>
  <c r="R202" i="1"/>
  <c r="U118" i="1"/>
  <c r="U125" i="1" s="1"/>
  <c r="U174" i="1"/>
  <c r="H222" i="1"/>
  <c r="H132" i="1"/>
  <c r="J94" i="1"/>
  <c r="J189" i="1" s="1"/>
  <c r="J159" i="1"/>
  <c r="I82" i="1"/>
  <c r="T59" i="1"/>
  <c r="T118" i="1"/>
  <c r="G68" i="1"/>
  <c r="G229" i="1" s="1"/>
  <c r="G86" i="1"/>
  <c r="S124" i="1"/>
  <c r="E55" i="1"/>
  <c r="E94" i="1"/>
  <c r="E189" i="1" s="1"/>
  <c r="M252" i="1"/>
  <c r="R86" i="1"/>
  <c r="H247" i="1"/>
  <c r="R247" i="1"/>
  <c r="Q94" i="1"/>
  <c r="Q189" i="1" s="1"/>
  <c r="D118" i="1"/>
  <c r="D174" i="1"/>
  <c r="C245" i="1"/>
  <c r="B30" i="1"/>
  <c r="B68" i="1"/>
  <c r="K252" i="1"/>
  <c r="J20" i="1"/>
  <c r="P68" i="1"/>
  <c r="C86" i="1"/>
  <c r="C168" i="1"/>
  <c r="O118" i="1"/>
  <c r="O174" i="1"/>
  <c r="O219" i="1" s="1"/>
  <c r="U247" i="1"/>
  <c r="U253" i="1" s="1"/>
  <c r="L222" i="1"/>
  <c r="L132" i="1"/>
  <c r="P247" i="1"/>
  <c r="E246" i="1"/>
  <c r="D24" i="1"/>
  <c r="D26" i="1" s="1"/>
  <c r="K55" i="1"/>
  <c r="K94" i="1"/>
  <c r="K189" i="1" s="1"/>
  <c r="H124" i="1"/>
  <c r="J59" i="1"/>
  <c r="T178" i="1"/>
  <c r="I268" i="1"/>
  <c r="I205" i="1" s="1"/>
  <c r="I203" i="1"/>
  <c r="I124" i="1"/>
  <c r="F247" i="1"/>
  <c r="S268" i="1"/>
  <c r="S205" i="1" s="1"/>
  <c r="S203" i="1"/>
  <c r="H204" i="1"/>
  <c r="H201" i="1"/>
  <c r="H202" i="1"/>
  <c r="G268" i="1"/>
  <c r="G205" i="1" s="1"/>
  <c r="G203" i="1"/>
  <c r="P202" i="1"/>
  <c r="R204" i="1"/>
  <c r="M78" i="1"/>
  <c r="H224" i="1"/>
  <c r="H223" i="1"/>
  <c r="H86" i="1"/>
  <c r="J50" i="1"/>
  <c r="I168" i="1"/>
  <c r="G223" i="1"/>
  <c r="G224" i="1"/>
  <c r="S42" i="1"/>
  <c r="S50" i="1"/>
  <c r="S94" i="1"/>
  <c r="S189" i="1" s="1"/>
  <c r="S159" i="1"/>
  <c r="F59" i="1"/>
  <c r="F174" i="1"/>
  <c r="F219" i="1" s="1"/>
  <c r="E42" i="1"/>
  <c r="C24" i="1"/>
  <c r="C26" i="1" s="1"/>
  <c r="N245" i="1"/>
  <c r="M245" i="1"/>
  <c r="L30" i="1"/>
  <c r="B42" i="1"/>
  <c r="B55" i="1"/>
  <c r="B82" i="1"/>
  <c r="P174" i="1"/>
  <c r="P219" i="1" s="1"/>
  <c r="C68" i="1"/>
  <c r="O159" i="1"/>
  <c r="J245" i="1"/>
  <c r="I30" i="1"/>
  <c r="N223" i="1"/>
  <c r="N224" i="1"/>
  <c r="T247" i="1"/>
  <c r="T253" i="1" s="1"/>
  <c r="G245" i="1"/>
  <c r="F30" i="1"/>
  <c r="K168" i="1"/>
  <c r="F198" i="1"/>
  <c r="H50" i="1"/>
  <c r="L247" i="1"/>
  <c r="S59" i="1"/>
  <c r="I219" i="1"/>
  <c r="T219" i="1"/>
  <c r="K202" i="1"/>
  <c r="K201" i="1"/>
  <c r="K204" i="1"/>
  <c r="H168" i="1"/>
  <c r="J124" i="1"/>
  <c r="H268" i="1"/>
  <c r="H205" i="1" s="1"/>
  <c r="H203" i="1"/>
  <c r="M142" i="1"/>
  <c r="U59" i="1"/>
  <c r="U222" i="1"/>
  <c r="U132" i="1"/>
  <c r="H68" i="1"/>
  <c r="H229" i="1" s="1"/>
  <c r="J73" i="1"/>
  <c r="J118" i="1"/>
  <c r="I118" i="1"/>
  <c r="G50" i="1"/>
  <c r="S55" i="1"/>
  <c r="F50" i="1"/>
  <c r="F168" i="1"/>
  <c r="D246" i="1"/>
  <c r="Q50" i="1"/>
  <c r="Q55" i="1"/>
  <c r="Q68" i="1"/>
  <c r="D82" i="1"/>
  <c r="B94" i="1"/>
  <c r="C50" i="1"/>
  <c r="C247" i="1"/>
  <c r="J252" i="1"/>
  <c r="I20" i="1"/>
  <c r="O253" i="1"/>
  <c r="N68" i="1"/>
  <c r="N174" i="1"/>
  <c r="H245" i="1"/>
  <c r="G30" i="1"/>
  <c r="G36" i="1" s="1"/>
  <c r="L223" i="1"/>
  <c r="L224" i="1"/>
  <c r="N26" i="1"/>
  <c r="I247" i="1"/>
  <c r="T90" i="1" l="1"/>
  <c r="T96" i="1" s="1"/>
  <c r="T125" i="1"/>
  <c r="T226" i="1"/>
  <c r="T221" i="1"/>
  <c r="T220" i="1"/>
  <c r="T38" i="1"/>
  <c r="T228" i="1"/>
  <c r="T225" i="1"/>
  <c r="G221" i="1"/>
  <c r="G220" i="1"/>
  <c r="G38" i="1"/>
  <c r="G225" i="1"/>
  <c r="N228" i="1"/>
  <c r="N78" i="1"/>
  <c r="N229" i="1"/>
  <c r="G251" i="1"/>
  <c r="G244" i="1"/>
  <c r="P178" i="1"/>
  <c r="C251" i="1"/>
  <c r="C244" i="1"/>
  <c r="F125" i="1"/>
  <c r="Q142" i="1"/>
  <c r="F142" i="1"/>
  <c r="H178" i="1"/>
  <c r="D253" i="1"/>
  <c r="F78" i="1"/>
  <c r="S178" i="1"/>
  <c r="I251" i="1"/>
  <c r="I244" i="1"/>
  <c r="K125" i="1"/>
  <c r="E253" i="1"/>
  <c r="J26" i="1"/>
  <c r="D142" i="1"/>
  <c r="E220" i="1"/>
  <c r="E221" i="1"/>
  <c r="E38" i="1"/>
  <c r="E63" i="1" s="1"/>
  <c r="E187" i="1" s="1"/>
  <c r="B26" i="1"/>
  <c r="P226" i="1"/>
  <c r="P220" i="1"/>
  <c r="P221" i="1"/>
  <c r="P38" i="1"/>
  <c r="P63" i="1" s="1"/>
  <c r="H226" i="1"/>
  <c r="H221" i="1"/>
  <c r="H220" i="1"/>
  <c r="H38" i="1"/>
  <c r="H63" i="1" s="1"/>
  <c r="H253" i="1"/>
  <c r="C36" i="1"/>
  <c r="C228" i="1" s="1"/>
  <c r="J228" i="1"/>
  <c r="J78" i="1"/>
  <c r="L125" i="1"/>
  <c r="I78" i="1"/>
  <c r="R178" i="1"/>
  <c r="I178" i="1"/>
  <c r="M220" i="1"/>
  <c r="M221" i="1"/>
  <c r="M38" i="1"/>
  <c r="M228" i="1"/>
  <c r="M225" i="1"/>
  <c r="K142" i="1"/>
  <c r="F251" i="1"/>
  <c r="F244" i="1"/>
  <c r="F178" i="1"/>
  <c r="D125" i="1"/>
  <c r="T251" i="1"/>
  <c r="T250" i="1" s="1"/>
  <c r="T210" i="1" s="1"/>
  <c r="T244" i="1"/>
  <c r="S228" i="1"/>
  <c r="S78" i="1"/>
  <c r="L178" i="1"/>
  <c r="S251" i="1"/>
  <c r="S244" i="1"/>
  <c r="R142" i="1"/>
  <c r="Q125" i="1"/>
  <c r="U228" i="1"/>
  <c r="U78" i="1"/>
  <c r="U90" i="1" s="1"/>
  <c r="P253" i="1"/>
  <c r="P125" i="1"/>
  <c r="H251" i="1"/>
  <c r="H244" i="1"/>
  <c r="C253" i="1"/>
  <c r="F253" i="1"/>
  <c r="P228" i="1"/>
  <c r="P78" i="1"/>
  <c r="P229" i="1"/>
  <c r="S221" i="1"/>
  <c r="S220" i="1"/>
  <c r="S38" i="1"/>
  <c r="K178" i="1"/>
  <c r="P225" i="1"/>
  <c r="H125" i="1"/>
  <c r="L251" i="1"/>
  <c r="L244" i="1"/>
  <c r="E142" i="1"/>
  <c r="C125" i="1"/>
  <c r="E178" i="1"/>
  <c r="P142" i="1"/>
  <c r="G178" i="1"/>
  <c r="J178" i="1"/>
  <c r="K251" i="1"/>
  <c r="K244" i="1"/>
  <c r="D251" i="1"/>
  <c r="D244" i="1"/>
  <c r="S219" i="1"/>
  <c r="M251" i="1"/>
  <c r="M244" i="1"/>
  <c r="M90" i="1"/>
  <c r="G142" i="1"/>
  <c r="M253" i="1"/>
  <c r="D78" i="1"/>
  <c r="D229" i="1"/>
  <c r="S125" i="1"/>
  <c r="Q178" i="1"/>
  <c r="O189" i="1"/>
  <c r="H228" i="1"/>
  <c r="H78" i="1"/>
  <c r="L253" i="1"/>
  <c r="T186" i="1"/>
  <c r="T180" i="1"/>
  <c r="D178" i="1"/>
  <c r="G228" i="1"/>
  <c r="G78" i="1"/>
  <c r="H142" i="1"/>
  <c r="Q36" i="1"/>
  <c r="Q228" i="1" s="1"/>
  <c r="O228" i="1"/>
  <c r="O78" i="1"/>
  <c r="O229" i="1"/>
  <c r="T63" i="1"/>
  <c r="T227" i="1" s="1"/>
  <c r="J253" i="1"/>
  <c r="I142" i="1"/>
  <c r="R36" i="1"/>
  <c r="R228" i="1" s="1"/>
  <c r="K36" i="1"/>
  <c r="K228" i="1" s="1"/>
  <c r="N178" i="1"/>
  <c r="Q78" i="1"/>
  <c r="I125" i="1"/>
  <c r="C78" i="1"/>
  <c r="C229" i="1"/>
  <c r="U178" i="1"/>
  <c r="Q229" i="1"/>
  <c r="L142" i="1"/>
  <c r="N219" i="1"/>
  <c r="I26" i="1"/>
  <c r="R251" i="1"/>
  <c r="R244" i="1"/>
  <c r="B36" i="1"/>
  <c r="U251" i="1"/>
  <c r="U250" i="1" s="1"/>
  <c r="U210" i="1" s="1"/>
  <c r="U244" i="1"/>
  <c r="G253" i="1"/>
  <c r="R78" i="1"/>
  <c r="L26" i="1"/>
  <c r="N251" i="1"/>
  <c r="N244" i="1"/>
  <c r="O125" i="1"/>
  <c r="I36" i="1"/>
  <c r="J226" i="1" s="1"/>
  <c r="D219" i="1"/>
  <c r="N125" i="1"/>
  <c r="M186" i="1"/>
  <c r="M180" i="1"/>
  <c r="D36" i="1"/>
  <c r="D228" i="1" s="1"/>
  <c r="L78" i="1"/>
  <c r="L229" i="1"/>
  <c r="S142" i="1"/>
  <c r="L36" i="1"/>
  <c r="L228" i="1" s="1"/>
  <c r="F189" i="1"/>
  <c r="J244" i="1"/>
  <c r="J251" i="1"/>
  <c r="B78" i="1"/>
  <c r="Q251" i="1"/>
  <c r="Q244" i="1"/>
  <c r="Q253" i="1"/>
  <c r="E251" i="1"/>
  <c r="E244" i="1"/>
  <c r="R125" i="1"/>
  <c r="O251" i="1"/>
  <c r="O244" i="1"/>
  <c r="J142" i="1"/>
  <c r="R253" i="1"/>
  <c r="G125" i="1"/>
  <c r="S225" i="1"/>
  <c r="J220" i="1"/>
  <c r="J221" i="1"/>
  <c r="J38" i="1"/>
  <c r="S253" i="1"/>
  <c r="K78" i="1"/>
  <c r="K229" i="1"/>
  <c r="D189" i="1"/>
  <c r="E125" i="1"/>
  <c r="O142" i="1"/>
  <c r="J125" i="1"/>
  <c r="I253" i="1"/>
  <c r="N226" i="1"/>
  <c r="N220" i="1"/>
  <c r="N221" i="1"/>
  <c r="N38" i="1"/>
  <c r="N63" i="1" s="1"/>
  <c r="O226" i="1"/>
  <c r="O221" i="1"/>
  <c r="O220" i="1"/>
  <c r="O38" i="1"/>
  <c r="O178" i="1"/>
  <c r="N142" i="1"/>
  <c r="C178" i="1"/>
  <c r="U219" i="1"/>
  <c r="R26" i="1"/>
  <c r="S26" i="1"/>
  <c r="K253" i="1"/>
  <c r="C142" i="1"/>
  <c r="U226" i="1"/>
  <c r="U221" i="1"/>
  <c r="U220" i="1"/>
  <c r="U38" i="1"/>
  <c r="U63" i="1" s="1"/>
  <c r="F36" i="1"/>
  <c r="G226" i="1" s="1"/>
  <c r="P251" i="1"/>
  <c r="P244" i="1"/>
  <c r="E228" i="1"/>
  <c r="E78" i="1"/>
  <c r="M226" i="1" l="1"/>
  <c r="T211" i="1"/>
  <c r="I112" i="1"/>
  <c r="I90" i="1"/>
  <c r="F90" i="1"/>
  <c r="N227" i="1"/>
  <c r="O250" i="1"/>
  <c r="O210" i="1" s="1"/>
  <c r="U211" i="1"/>
  <c r="U112" i="1"/>
  <c r="U126" i="1" s="1"/>
  <c r="T112" i="1"/>
  <c r="T126" i="1" s="1"/>
  <c r="K112" i="1"/>
  <c r="L226" i="1"/>
  <c r="L220" i="1"/>
  <c r="L221" i="1"/>
  <c r="L38" i="1"/>
  <c r="L63" i="1" s="1"/>
  <c r="L227" i="1" s="1"/>
  <c r="L225" i="1"/>
  <c r="D226" i="1"/>
  <c r="D220" i="1"/>
  <c r="D221" i="1"/>
  <c r="D38" i="1"/>
  <c r="D225" i="1"/>
  <c r="K226" i="1"/>
  <c r="K221" i="1"/>
  <c r="K38" i="1"/>
  <c r="K220" i="1"/>
  <c r="K225" i="1"/>
  <c r="F186" i="1"/>
  <c r="F250" i="1"/>
  <c r="F210" i="1" s="1"/>
  <c r="F228" i="1"/>
  <c r="G250" i="1"/>
  <c r="G210" i="1" s="1"/>
  <c r="B90" i="1"/>
  <c r="G186" i="1"/>
  <c r="O112" i="1"/>
  <c r="H90" i="1"/>
  <c r="E250" i="1"/>
  <c r="E211" i="1" s="1"/>
  <c r="U180" i="1"/>
  <c r="U186" i="1"/>
  <c r="H250" i="1"/>
  <c r="H211" i="1" s="1"/>
  <c r="S90" i="1"/>
  <c r="I228" i="1"/>
  <c r="C186" i="1"/>
  <c r="Q112" i="1"/>
  <c r="N250" i="1"/>
  <c r="N211" i="1" s="1"/>
  <c r="T188" i="1"/>
  <c r="T187" i="1"/>
  <c r="S63" i="1"/>
  <c r="O186" i="1"/>
  <c r="O180" i="1"/>
  <c r="Q250" i="1"/>
  <c r="E112" i="1"/>
  <c r="J250" i="1"/>
  <c r="J210" i="1" s="1"/>
  <c r="B38" i="1"/>
  <c r="U185" i="1"/>
  <c r="C90" i="1"/>
  <c r="O63" i="1"/>
  <c r="O185" i="1" s="1"/>
  <c r="M63" i="1"/>
  <c r="E90" i="1"/>
  <c r="U96" i="1"/>
  <c r="R180" i="1"/>
  <c r="R186" i="1"/>
  <c r="I250" i="1"/>
  <c r="I211" i="1" s="1"/>
  <c r="H186" i="1"/>
  <c r="C250" i="1"/>
  <c r="C211" i="1" s="1"/>
  <c r="C112" i="1"/>
  <c r="G90" i="1"/>
  <c r="I186" i="1"/>
  <c r="S112" i="1"/>
  <c r="K90" i="1"/>
  <c r="H112" i="1"/>
  <c r="R90" i="1"/>
  <c r="Q90" i="1"/>
  <c r="D186" i="1"/>
  <c r="C226" i="1"/>
  <c r="C221" i="1"/>
  <c r="C220" i="1"/>
  <c r="C38" i="1"/>
  <c r="C225" i="1"/>
  <c r="S186" i="1"/>
  <c r="S180" i="1"/>
  <c r="G63" i="1"/>
  <c r="M250" i="1"/>
  <c r="F226" i="1"/>
  <c r="F221" i="1"/>
  <c r="F220" i="1"/>
  <c r="F38" i="1"/>
  <c r="F225" i="1"/>
  <c r="N187" i="1"/>
  <c r="U216" i="1"/>
  <c r="P188" i="1"/>
  <c r="P112" i="1"/>
  <c r="N210" i="1"/>
  <c r="I226" i="1"/>
  <c r="I221" i="1"/>
  <c r="I220" i="1"/>
  <c r="I38" i="1"/>
  <c r="I63" i="1" s="1"/>
  <c r="I225" i="1"/>
  <c r="R250" i="1"/>
  <c r="R211" i="1" s="1"/>
  <c r="R221" i="1"/>
  <c r="R226" i="1"/>
  <c r="R220" i="1"/>
  <c r="R38" i="1"/>
  <c r="R63" i="1" s="1"/>
  <c r="R227" i="1" s="1"/>
  <c r="R225" i="1"/>
  <c r="O90" i="1"/>
  <c r="P90" i="1"/>
  <c r="P227" i="1"/>
  <c r="J63" i="1"/>
  <c r="U188" i="1"/>
  <c r="U187" i="1"/>
  <c r="N188" i="1"/>
  <c r="P187" i="1"/>
  <c r="R112" i="1"/>
  <c r="H187" i="1"/>
  <c r="D250" i="1"/>
  <c r="D211" i="1" s="1"/>
  <c r="J186" i="1"/>
  <c r="K180" i="1"/>
  <c r="K186" i="1"/>
  <c r="S250" i="1"/>
  <c r="S211" i="1" s="1"/>
  <c r="J90" i="1"/>
  <c r="N90" i="1"/>
  <c r="L90" i="1"/>
  <c r="H188" i="1"/>
  <c r="Q180" i="1"/>
  <c r="Q186" i="1"/>
  <c r="D90" i="1"/>
  <c r="M96" i="1"/>
  <c r="P186" i="1"/>
  <c r="P180" i="1"/>
  <c r="P250" i="1"/>
  <c r="N186" i="1"/>
  <c r="N180" i="1"/>
  <c r="E186" i="1"/>
  <c r="S226" i="1"/>
  <c r="H227" i="1"/>
  <c r="G112" i="1"/>
  <c r="U227" i="1"/>
  <c r="L112" i="1"/>
  <c r="F112" i="1"/>
  <c r="Q226" i="1"/>
  <c r="Q220" i="1"/>
  <c r="Q221" i="1"/>
  <c r="Q38" i="1"/>
  <c r="Q225" i="1"/>
  <c r="K250" i="1"/>
  <c r="K210" i="1" s="1"/>
  <c r="L250" i="1"/>
  <c r="L211" i="1" s="1"/>
  <c r="L186" i="1"/>
  <c r="L180" i="1"/>
  <c r="E226" i="1"/>
  <c r="J112" i="1"/>
  <c r="I210" i="1" l="1"/>
  <c r="F211" i="1"/>
  <c r="K211" i="1"/>
  <c r="J216" i="1"/>
  <c r="J185" i="1"/>
  <c r="I187" i="1"/>
  <c r="I188" i="1"/>
  <c r="I216" i="1"/>
  <c r="I185" i="1"/>
  <c r="I227" i="1"/>
  <c r="K126" i="1"/>
  <c r="T209" i="1"/>
  <c r="T214" i="1"/>
  <c r="T133" i="1"/>
  <c r="T170" i="1" s="1"/>
  <c r="T218" i="1" s="1"/>
  <c r="T217" i="1"/>
  <c r="T215" i="1"/>
  <c r="L126" i="1"/>
  <c r="P210" i="1"/>
  <c r="J96" i="1"/>
  <c r="S210" i="1"/>
  <c r="D63" i="1"/>
  <c r="J211" i="1"/>
  <c r="P126" i="1"/>
  <c r="L210" i="1"/>
  <c r="K96" i="1"/>
  <c r="T185" i="1"/>
  <c r="S227" i="1"/>
  <c r="S188" i="1"/>
  <c r="T216" i="1"/>
  <c r="S187" i="1"/>
  <c r="S96" i="1"/>
  <c r="O126" i="1"/>
  <c r="R210" i="1"/>
  <c r="B63" i="1"/>
  <c r="E213" i="1"/>
  <c r="E208" i="1"/>
  <c r="E207" i="1"/>
  <c r="E212" i="1"/>
  <c r="P96" i="1"/>
  <c r="T213" i="1"/>
  <c r="T208" i="1"/>
  <c r="T207" i="1"/>
  <c r="T212" i="1"/>
  <c r="M185" i="1"/>
  <c r="M216" i="1"/>
  <c r="L188" i="1"/>
  <c r="L187" i="1"/>
  <c r="O96" i="1"/>
  <c r="P211" i="1"/>
  <c r="M210" i="1"/>
  <c r="O211" i="1"/>
  <c r="I208" i="1"/>
  <c r="I213" i="1"/>
  <c r="I207" i="1"/>
  <c r="I212" i="1"/>
  <c r="C208" i="1"/>
  <c r="C213" i="1"/>
  <c r="C207" i="1"/>
  <c r="C212" i="1"/>
  <c r="B96" i="1"/>
  <c r="O213" i="1"/>
  <c r="O208" i="1"/>
  <c r="O212" i="1"/>
  <c r="O207" i="1"/>
  <c r="S213" i="1"/>
  <c r="S208" i="1"/>
  <c r="S207" i="1"/>
  <c r="S212" i="1"/>
  <c r="G126" i="1"/>
  <c r="I96" i="1"/>
  <c r="L96" i="1"/>
  <c r="J188" i="1"/>
  <c r="J187" i="1"/>
  <c r="J227" i="1"/>
  <c r="G187" i="1"/>
  <c r="H185" i="1"/>
  <c r="G188" i="1"/>
  <c r="G227" i="1"/>
  <c r="H216" i="1"/>
  <c r="D210" i="1"/>
  <c r="G96" i="1"/>
  <c r="P213" i="1"/>
  <c r="P208" i="1"/>
  <c r="P212" i="1"/>
  <c r="P207" i="1"/>
  <c r="U213" i="1"/>
  <c r="U208" i="1"/>
  <c r="U212" i="1"/>
  <c r="U207" i="1"/>
  <c r="H126" i="1"/>
  <c r="J126" i="1"/>
  <c r="Q63" i="1"/>
  <c r="Q210" i="1"/>
  <c r="Q96" i="1"/>
  <c r="Q126" i="1"/>
  <c r="H210" i="1"/>
  <c r="M211" i="1"/>
  <c r="H213" i="1"/>
  <c r="H208" i="1"/>
  <c r="H207" i="1"/>
  <c r="H212" i="1"/>
  <c r="J208" i="1"/>
  <c r="J213" i="1"/>
  <c r="J207" i="1"/>
  <c r="J212" i="1"/>
  <c r="F96" i="1"/>
  <c r="M187" i="1"/>
  <c r="M188" i="1"/>
  <c r="M227" i="1"/>
  <c r="N216" i="1"/>
  <c r="N185" i="1"/>
  <c r="Q211" i="1"/>
  <c r="G211" i="1"/>
  <c r="K63" i="1"/>
  <c r="G213" i="1"/>
  <c r="G208" i="1"/>
  <c r="G207" i="1"/>
  <c r="G212" i="1"/>
  <c r="Q213" i="1"/>
  <c r="Q208" i="1"/>
  <c r="Q207" i="1"/>
  <c r="Q212" i="1"/>
  <c r="N96" i="1"/>
  <c r="R126" i="1"/>
  <c r="N213" i="1"/>
  <c r="N208" i="1"/>
  <c r="N212" i="1"/>
  <c r="N207" i="1"/>
  <c r="F126" i="1"/>
  <c r="D96" i="1"/>
  <c r="C63" i="1"/>
  <c r="R96" i="1"/>
  <c r="E96" i="1"/>
  <c r="E126" i="1"/>
  <c r="E210" i="1"/>
  <c r="D208" i="1"/>
  <c r="D213" i="1"/>
  <c r="D212" i="1"/>
  <c r="D207" i="1"/>
  <c r="L208" i="1"/>
  <c r="L213" i="1"/>
  <c r="L212" i="1"/>
  <c r="L207" i="1"/>
  <c r="D112" i="1"/>
  <c r="F63" i="1"/>
  <c r="S185" i="1"/>
  <c r="R187" i="1"/>
  <c r="R188" i="1"/>
  <c r="S216" i="1"/>
  <c r="C126" i="1"/>
  <c r="C210" i="1"/>
  <c r="R213" i="1"/>
  <c r="R208" i="1"/>
  <c r="R207" i="1"/>
  <c r="R212" i="1"/>
  <c r="M213" i="1"/>
  <c r="M208" i="1"/>
  <c r="M212" i="1"/>
  <c r="M207" i="1"/>
  <c r="M112" i="1"/>
  <c r="I126" i="1"/>
  <c r="P185" i="1"/>
  <c r="P216" i="1"/>
  <c r="O227" i="1"/>
  <c r="O187" i="1"/>
  <c r="O188" i="1"/>
  <c r="O216" i="1"/>
  <c r="K208" i="1"/>
  <c r="K213" i="1"/>
  <c r="K212" i="1"/>
  <c r="K207" i="1"/>
  <c r="U214" i="1"/>
  <c r="U209" i="1"/>
  <c r="U133" i="1"/>
  <c r="U170" i="1" s="1"/>
  <c r="U218" i="1" s="1"/>
  <c r="U217" i="1"/>
  <c r="U215" i="1"/>
  <c r="S126" i="1"/>
  <c r="C96" i="1"/>
  <c r="H96" i="1"/>
  <c r="F213" i="1"/>
  <c r="F208" i="1"/>
  <c r="F212" i="1"/>
  <c r="F207" i="1"/>
  <c r="N112" i="1"/>
  <c r="Q214" i="1" l="1"/>
  <c r="Q209" i="1"/>
  <c r="Q133" i="1"/>
  <c r="Q215" i="1"/>
  <c r="Q217" i="1"/>
  <c r="H214" i="1"/>
  <c r="H209" i="1"/>
  <c r="H133" i="1"/>
  <c r="H215" i="1"/>
  <c r="H217" i="1"/>
  <c r="P214" i="1"/>
  <c r="P209" i="1"/>
  <c r="P133" i="1"/>
  <c r="P215" i="1"/>
  <c r="P217" i="1"/>
  <c r="N126" i="1"/>
  <c r="S209" i="1"/>
  <c r="S214" i="1"/>
  <c r="S133" i="1"/>
  <c r="S215" i="1"/>
  <c r="S217" i="1"/>
  <c r="I214" i="1"/>
  <c r="I209" i="1"/>
  <c r="I133" i="1"/>
  <c r="I215" i="1"/>
  <c r="I217" i="1"/>
  <c r="G216" i="1"/>
  <c r="F187" i="1"/>
  <c r="G185" i="1"/>
  <c r="F216" i="1"/>
  <c r="F185" i="1"/>
  <c r="C216" i="1"/>
  <c r="C185" i="1"/>
  <c r="G214" i="1"/>
  <c r="G209" i="1"/>
  <c r="G133" i="1"/>
  <c r="G215" i="1"/>
  <c r="G217" i="1"/>
  <c r="K214" i="1"/>
  <c r="K209" i="1"/>
  <c r="K133" i="1"/>
  <c r="K215" i="1"/>
  <c r="K217" i="1"/>
  <c r="M126" i="1"/>
  <c r="E216" i="1"/>
  <c r="D187" i="1"/>
  <c r="E185" i="1"/>
  <c r="L214" i="1"/>
  <c r="L209" i="1"/>
  <c r="L133" i="1"/>
  <c r="L215" i="1"/>
  <c r="L217" i="1"/>
  <c r="R209" i="1"/>
  <c r="R214" i="1"/>
  <c r="R133" i="1"/>
  <c r="R215" i="1"/>
  <c r="R217" i="1"/>
  <c r="R216" i="1"/>
  <c r="R185" i="1"/>
  <c r="Q187" i="1"/>
  <c r="Q188" i="1"/>
  <c r="Q216" i="1"/>
  <c r="Q185" i="1"/>
  <c r="Q227" i="1"/>
  <c r="E214" i="1"/>
  <c r="E209" i="1"/>
  <c r="E133" i="1"/>
  <c r="E215" i="1"/>
  <c r="E217" i="1"/>
  <c r="K188" i="1"/>
  <c r="K187" i="1"/>
  <c r="L216" i="1"/>
  <c r="L185" i="1"/>
  <c r="K227" i="1"/>
  <c r="K216" i="1"/>
  <c r="C209" i="1"/>
  <c r="C214" i="1"/>
  <c r="C133" i="1"/>
  <c r="C215" i="1"/>
  <c r="C217" i="1"/>
  <c r="O209" i="1"/>
  <c r="O214" i="1"/>
  <c r="O133" i="1"/>
  <c r="O215" i="1"/>
  <c r="O217" i="1"/>
  <c r="D126" i="1"/>
  <c r="D216" i="1"/>
  <c r="C187" i="1"/>
  <c r="D185" i="1"/>
  <c r="F214" i="1"/>
  <c r="F209" i="1"/>
  <c r="F133" i="1"/>
  <c r="F215" i="1"/>
  <c r="F217" i="1"/>
  <c r="J214" i="1"/>
  <c r="J209" i="1"/>
  <c r="J133" i="1"/>
  <c r="J215" i="1"/>
  <c r="J217" i="1"/>
  <c r="K185" i="1"/>
  <c r="O170" i="1" l="1"/>
  <c r="M214" i="1"/>
  <c r="M209" i="1"/>
  <c r="M133" i="1"/>
  <c r="M215" i="1"/>
  <c r="M217" i="1"/>
  <c r="S170" i="1"/>
  <c r="H170" i="1"/>
  <c r="J170" i="1"/>
  <c r="F170" i="1"/>
  <c r="G170" i="1"/>
  <c r="P170" i="1"/>
  <c r="E170" i="1"/>
  <c r="K170" i="1"/>
  <c r="D209" i="1"/>
  <c r="D214" i="1"/>
  <c r="D133" i="1"/>
  <c r="D215" i="1"/>
  <c r="D217" i="1"/>
  <c r="I170" i="1"/>
  <c r="N214" i="1"/>
  <c r="N209" i="1"/>
  <c r="N133" i="1"/>
  <c r="N215" i="1"/>
  <c r="N217" i="1"/>
  <c r="C170" i="1"/>
  <c r="L170" i="1"/>
  <c r="Q170" i="1"/>
  <c r="R170" i="1"/>
  <c r="S218" i="1" l="1"/>
  <c r="F218" i="1"/>
  <c r="E218" i="1"/>
  <c r="I218" i="1"/>
  <c r="J218" i="1"/>
  <c r="M170" i="1"/>
  <c r="P218" i="1"/>
  <c r="K218" i="1"/>
  <c r="C218" i="1"/>
  <c r="D170" i="1"/>
  <c r="H218" i="1"/>
  <c r="O218" i="1"/>
  <c r="R218" i="1"/>
  <c r="Q218" i="1"/>
  <c r="N170" i="1"/>
  <c r="G218" i="1"/>
  <c r="L218" i="1"/>
  <c r="N218" i="1" l="1"/>
  <c r="M218" i="1"/>
  <c r="D218" i="1"/>
</calcChain>
</file>

<file path=xl/sharedStrings.xml><?xml version="1.0" encoding="utf-8"?>
<sst xmlns="http://schemas.openxmlformats.org/spreadsheetml/2006/main" count="266" uniqueCount="215">
  <si>
    <t>Grupo Aval Acciones y Valores S.A.</t>
  </si>
  <si>
    <t>Consolidated Financial Statements</t>
  </si>
  <si>
    <t>Supplemental unaudited pro forma financial information</t>
  </si>
  <si>
    <t>Information in Ps. Billions</t>
  </si>
  <si>
    <t>3Q23</t>
  </si>
  <si>
    <t>Banco de Bogotá executed a spin-off of a 75% equity stake in BAC Holding International, Corp (“BHI”); to its shareholders and Grupo Aval subsequently spun-off its equity interest to its shareholders on March 29, 2022. 
As a result, for comparability purposes, we have prepared and present supplemental unaudited pro forma financial information that assumes the spin-off was completed prior to these periods.</t>
  </si>
  <si>
    <t>The pro forma financial information is unaudited and the completion of the external audit for 2Q21,3Q21 and 4Q21 may result in adjustments to the unaudited pro forma financial information presented herein any such adjustments may be material.</t>
  </si>
  <si>
    <t>1/ Reflected the BHI's contribution to the Consolidated Financial Statement.</t>
  </si>
  <si>
    <t xml:space="preserve">2/ Prior to the spin-off, Banco de Bogotá was the direct parent of BHI which had a direct participation in BHI of 100%, this interest in BHI is reported as discontinued operations for reporting periods prior to the spin-off, including for the full period in the three months ended March 31, 2022. Post spin-off Grupo Aval has retained an indirect stake  in BHI (representing our proportional interest in the 25% equity stake in BHI retained by Banco de Bogotá) and will be reported under the “income from non-consolidated investments ” line item for subsequent periods. </t>
  </si>
  <si>
    <t>Consolidated Statement of Financial Position</t>
  </si>
  <si>
    <t>Pro forma
 4Q20</t>
  </si>
  <si>
    <t>Pro forma
 1Q21</t>
  </si>
  <si>
    <t>Pro forma
 2Q21</t>
  </si>
  <si>
    <t>Pro forma
 3Q21</t>
  </si>
  <si>
    <t>Pro forma
 4Q21</t>
  </si>
  <si>
    <t>Consolidated Statement of Income</t>
  </si>
  <si>
    <t>Commercial portfolio</t>
  </si>
  <si>
    <t>Consumer Portfolio</t>
  </si>
  <si>
    <t>Microcredit Portfolio</t>
  </si>
  <si>
    <t>Mortgages Portfolio</t>
  </si>
  <si>
    <t>Interbank and Overnight funds Portfolio</t>
  </si>
  <si>
    <t>Total trading investment income</t>
  </si>
  <si>
    <t>Total derivatives income</t>
  </si>
  <si>
    <t>Net income for the period of continued operations</t>
  </si>
  <si>
    <t>2/ Net income for the period of discontinued operations</t>
  </si>
  <si>
    <t>Net income for the period</t>
  </si>
  <si>
    <t>Net income for the period attibutable to:</t>
  </si>
  <si>
    <t>Non-controlling interest</t>
  </si>
  <si>
    <t>Net income attributable to owners of the parent</t>
  </si>
  <si>
    <t>Net income for the period from continuing operations</t>
  </si>
  <si>
    <t>Net income for the period from discontinued operations, net of tax</t>
  </si>
  <si>
    <t>Key ratios as reported</t>
  </si>
  <si>
    <t>ROAA</t>
  </si>
  <si>
    <t>ROAE</t>
  </si>
  <si>
    <t>Equity / Assets</t>
  </si>
  <si>
    <t>Tangible equity ratio</t>
  </si>
  <si>
    <t>Non-controlling interest / Total equity</t>
  </si>
  <si>
    <t>Consolidated Solvency Ratio of our Banks</t>
  </si>
  <si>
    <t>Banco de Bogotá</t>
  </si>
  <si>
    <t>Banco de Occidente</t>
  </si>
  <si>
    <t>Banco Popular</t>
  </si>
  <si>
    <t>Banco AV Villas</t>
  </si>
  <si>
    <t>3&amp;4/ Pro forma key ratios</t>
  </si>
  <si>
    <t>Banking Segment</t>
  </si>
  <si>
    <t>Net Interest Margin on Commercial Loans</t>
  </si>
  <si>
    <t>Net Interest Margin on Retail Loans</t>
  </si>
  <si>
    <t>Net Interest Margin on Loans (including net trading income)</t>
  </si>
  <si>
    <t>Net Interest Margin on Investments (including net trading income)</t>
  </si>
  <si>
    <t>Net Interest Margin (excluding net trading income)</t>
  </si>
  <si>
    <t>Grupo Aval</t>
  </si>
  <si>
    <t>Net Interest Margin on Loans</t>
  </si>
  <si>
    <t>Net Interest Margin on Investments</t>
  </si>
  <si>
    <t>Net Interest Margin (including net trading income)</t>
  </si>
  <si>
    <t>Efficiency ratio (cost to income)</t>
  </si>
  <si>
    <t>Efficiency ratio (cost to assets)</t>
  </si>
  <si>
    <t>Fee income ratio</t>
  </si>
  <si>
    <t>Effective tax rate (excluding income from non-consolidated investments)</t>
  </si>
  <si>
    <t>Non-controlling interest / Net income for the period</t>
  </si>
  <si>
    <t>30 days PDL / Gross loans</t>
  </si>
  <si>
    <t>90 days PDL / Gross loans</t>
  </si>
  <si>
    <t>Provision expense (net of recoveries) / Average gross loans</t>
  </si>
  <si>
    <t>Allowance / 30 days PDL</t>
  </si>
  <si>
    <t>Allowance / 90 days PDL</t>
  </si>
  <si>
    <t>Allowance /  Gross loans</t>
  </si>
  <si>
    <t>Charge-offs / Average gross loans</t>
  </si>
  <si>
    <t>Total loans, net / Total assets</t>
  </si>
  <si>
    <t xml:space="preserve">Deposits / Total loans, net </t>
  </si>
  <si>
    <t>Cash / Deposits</t>
  </si>
  <si>
    <t>(*) Gross loans exclude interbank and overnight funds</t>
  </si>
  <si>
    <t xml:space="preserve">3/ Pro-forma ratios are calculated based on the pro-forma figures explained above. </t>
  </si>
  <si>
    <t>4/ Pro-forma ratios for 1Q22 are based on reported revenues and expenses, associated to each ratio; however, the denominators averages used to calculate these ratios contain pro-forma figures from previous quarters.</t>
  </si>
  <si>
    <t>Other Metrics</t>
  </si>
  <si>
    <t>PDL 30+</t>
  </si>
  <si>
    <t>PDL 90+</t>
  </si>
  <si>
    <t>Charge-offs</t>
  </si>
  <si>
    <t>Grupo Aval - Productive Assets</t>
  </si>
  <si>
    <t xml:space="preserve">Loans </t>
  </si>
  <si>
    <t>Investments</t>
  </si>
  <si>
    <t>Interbank &amp; Overnight Funds</t>
  </si>
  <si>
    <t>Banking Segment - Productive Assets</t>
  </si>
  <si>
    <t>Loan portfolio</t>
  </si>
  <si>
    <t xml:space="preserve">  Commercial portfolio</t>
  </si>
  <si>
    <t xml:space="preserve">  Consumer Portfolio</t>
  </si>
  <si>
    <t xml:space="preserve">  Microcredit Portfolio</t>
  </si>
  <si>
    <t xml:space="preserve">  Mortgages Portfolio</t>
  </si>
  <si>
    <t>Trading Assets</t>
  </si>
  <si>
    <t>Investments in debt securities at AC</t>
  </si>
  <si>
    <t>Banking segment - Interest income</t>
  </si>
  <si>
    <t>Interests on investments in debt securities</t>
  </si>
  <si>
    <t>Banking segment - Interest expense</t>
  </si>
  <si>
    <t>Cash and cash equivalents</t>
  </si>
  <si>
    <t>Investment and trading assets</t>
  </si>
  <si>
    <t>Debt securities</t>
  </si>
  <si>
    <t>Equity securities</t>
  </si>
  <si>
    <t>Derivative assets</t>
  </si>
  <si>
    <t>Trading assets</t>
  </si>
  <si>
    <t>Investments in debt securities at FVTPL (non compliant with SPPI test)</t>
  </si>
  <si>
    <t>Debt securities at FVOCI</t>
  </si>
  <si>
    <t>Equity securities at FVOCI</t>
  </si>
  <si>
    <t>Investments in securities at FVOCI</t>
  </si>
  <si>
    <t>Investment securities</t>
  </si>
  <si>
    <t>Hedging derivatives assets</t>
  </si>
  <si>
    <t>Gross loans</t>
  </si>
  <si>
    <t>Commercial loans</t>
  </si>
  <si>
    <t>Interbank &amp; overnight funds</t>
  </si>
  <si>
    <t>Consumer loans</t>
  </si>
  <si>
    <t>Mortgages loans</t>
  </si>
  <si>
    <t>Microcredit loans</t>
  </si>
  <si>
    <t>Total gross loans</t>
  </si>
  <si>
    <t>Loss allowance</t>
  </si>
  <si>
    <t>Total loans, net</t>
  </si>
  <si>
    <t>Financial assets in concession arrangemenrs rights at fair value</t>
  </si>
  <si>
    <t>Other accounts receivable</t>
  </si>
  <si>
    <t>Other accounts receivable, net</t>
  </si>
  <si>
    <t>Non-current assets held for sale</t>
  </si>
  <si>
    <t>Investments in associates and joint ventures</t>
  </si>
  <si>
    <t>Own-use property, plant and equipment for own-use and given in operating lease, net</t>
  </si>
  <si>
    <t>Right-of-use assets</t>
  </si>
  <si>
    <t>Investment properties</t>
  </si>
  <si>
    <t>Biological assets</t>
  </si>
  <si>
    <t>Tangible assets</t>
  </si>
  <si>
    <t>Goodwill</t>
  </si>
  <si>
    <t>Concession arrangement rights</t>
  </si>
  <si>
    <t>Other intangible assets</t>
  </si>
  <si>
    <t>Intangible assets</t>
  </si>
  <si>
    <t>Current</t>
  </si>
  <si>
    <t>Deferred</t>
  </si>
  <si>
    <t>Income tax assets</t>
  </si>
  <si>
    <t>Other assets</t>
  </si>
  <si>
    <t>Spun-off assets from BHI</t>
  </si>
  <si>
    <t>Total assets</t>
  </si>
  <si>
    <t>Trading liabilities</t>
  </si>
  <si>
    <t>Hedging derivatives liabilities</t>
  </si>
  <si>
    <t>Customer deposits</t>
  </si>
  <si>
    <t>Checking accounts</t>
  </si>
  <si>
    <t>Time deposits</t>
  </si>
  <si>
    <t>Savings deposits</t>
  </si>
  <si>
    <t>Other deposits</t>
  </si>
  <si>
    <t>Financial obligations</t>
  </si>
  <si>
    <t>Interbank borrowings and overnight funds</t>
  </si>
  <si>
    <t>Borrowings from banks and others</t>
  </si>
  <si>
    <t>Bonds issued</t>
  </si>
  <si>
    <t>Borrowings from development entities</t>
  </si>
  <si>
    <t>Total financial liabilities at amortized cost</t>
  </si>
  <si>
    <t>Legal related</t>
  </si>
  <si>
    <t>Other provisions</t>
  </si>
  <si>
    <t>Provisions</t>
  </si>
  <si>
    <t>Income tax liabilities</t>
  </si>
  <si>
    <t>Employee benefits</t>
  </si>
  <si>
    <t>Other liabilities</t>
  </si>
  <si>
    <t>Spun-off liabilities from BHI</t>
  </si>
  <si>
    <t>Total liabilities</t>
  </si>
  <si>
    <t>Equity attributable to owners of the parent</t>
  </si>
  <si>
    <t>Total equity</t>
  </si>
  <si>
    <t>Total liabilities and equity</t>
  </si>
  <si>
    <t>Interest income</t>
  </si>
  <si>
    <t>Total interest income</t>
  </si>
  <si>
    <t>Interest expense</t>
  </si>
  <si>
    <t>Total interest expenses on deposits</t>
  </si>
  <si>
    <t>Total interest expenses on financial obligations</t>
  </si>
  <si>
    <t>Total interest expense</t>
  </si>
  <si>
    <t>Net interest income</t>
  </si>
  <si>
    <t>Impairment losses (recoveries) on financial assets</t>
  </si>
  <si>
    <t>Loans and other accounts receivable</t>
  </si>
  <si>
    <t>Other financial assets</t>
  </si>
  <si>
    <t>Recovery of charged-off financial assets</t>
  </si>
  <si>
    <t>Net impairment loss on financial assets</t>
  </si>
  <si>
    <t>Net interest income, after impairment losses</t>
  </si>
  <si>
    <t>Income from commissions and fees</t>
  </si>
  <si>
    <t>Banking fees (1)</t>
  </si>
  <si>
    <t>Trust activities</t>
  </si>
  <si>
    <t>Pension and severance fund management</t>
  </si>
  <si>
    <t>Bonded warehouse services</t>
  </si>
  <si>
    <t>Expenses from commissions and fees</t>
  </si>
  <si>
    <t>Net income from commissions and fees</t>
  </si>
  <si>
    <t>Gross profit from sales of goods and services</t>
  </si>
  <si>
    <t>Net trading income</t>
  </si>
  <si>
    <t>Net income from other financial instruments mandatory at FVTPL</t>
  </si>
  <si>
    <t>Gains from loss of control in subsidiaries</t>
  </si>
  <si>
    <t>Other income</t>
  </si>
  <si>
    <t>Foreign exchange gains (losses), net</t>
  </si>
  <si>
    <t>Net gain on sale of investments and OCI realization</t>
  </si>
  <si>
    <t>Gain on the sale of non-current assets held for sale</t>
  </si>
  <si>
    <t>Income from non-consolidated investments (2)</t>
  </si>
  <si>
    <t>Net gains on asset valuations</t>
  </si>
  <si>
    <t>Other income from operations</t>
  </si>
  <si>
    <t>Total other income</t>
  </si>
  <si>
    <t>Other expenses</t>
  </si>
  <si>
    <t>Loss on the sale of non-current assets held for sale</t>
  </si>
  <si>
    <t>Personnel expenses</t>
  </si>
  <si>
    <t>General and administrative expenses</t>
  </si>
  <si>
    <t>Depreciation and amortization</t>
  </si>
  <si>
    <t>Impairment loss on other assets</t>
  </si>
  <si>
    <t>Other operating expenses</t>
  </si>
  <si>
    <t>Total other expenses</t>
  </si>
  <si>
    <t>Net income before income tax expense</t>
  </si>
  <si>
    <t>Income tax expense</t>
  </si>
  <si>
    <t>1Q21</t>
  </si>
  <si>
    <t>2Q21</t>
  </si>
  <si>
    <t>3Q21</t>
  </si>
  <si>
    <t>4Q21</t>
  </si>
  <si>
    <t>1Q22</t>
  </si>
  <si>
    <t>2Q22</t>
  </si>
  <si>
    <t>3Q22</t>
  </si>
  <si>
    <t>4Q22</t>
  </si>
  <si>
    <t>1Q23</t>
  </si>
  <si>
    <t>2Q23</t>
  </si>
  <si>
    <t>4Q23</t>
  </si>
  <si>
    <t>1Q24</t>
  </si>
  <si>
    <t>2Q24</t>
  </si>
  <si>
    <t>3Q24</t>
  </si>
  <si>
    <t>4Q24</t>
  </si>
  <si>
    <t>1Q25</t>
  </si>
  <si>
    <t>2Q25</t>
  </si>
  <si>
    <t>3Q25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</si>
</sst>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_(* #,##0.00_);_(* \(#,##0.00\);_(* &quot;-&quot;??_);_(@_)"/>
    <numFmt numFmtId="165" formatCode="_(* #,##0.0_);_(* \(#,##0.0\);_(* &quot;-&quot;??_);_(@_)"/>
    <numFmt numFmtId="168" formatCode="_-* #,##0.0_-;\-* #,##0.0_-;_-* &quot;-&quot;?_-;_-@_-"/>
    <numFmt numFmtId="169" formatCode="0.0%"/>
    <numFmt numFmtId="170" formatCode="_(* #,##0_);_(* \(#,##0\);_(* &quot;-&quot;??_);_(@_)"/>
  </numFmts>
  <fonts count="16" x14ac:knownFonts="1">
    <font>
      <sz val="11"/>
      <color theme="1"/>
      <name val="Calibri"/>
      <family val="2"/>
      <scheme val="minor"/>
    </font>
    <font>
      <sz val="11"/>
      <color theme="1"/>
      <name val="Calibri"/>
      <family val="2"/>
      <scheme val="minor"/>
    </font>
    <font>
      <b/>
      <sz val="16"/>
      <color rgb="FF002060"/>
      <name val="Arial"/>
      <family val="2"/>
    </font>
    <font>
      <sz val="11"/>
      <color theme="1"/>
      <name val="Arial"/>
      <family val="2"/>
    </font>
    <font>
      <sz val="13"/>
      <color theme="0"/>
      <name val="Arial"/>
      <family val="2"/>
    </font>
    <font>
      <i/>
      <sz val="14"/>
      <color rgb="FF002060"/>
      <name val="Arial"/>
      <family val="2"/>
    </font>
    <font>
      <b/>
      <sz val="16"/>
      <color theme="0"/>
      <name val="Arial"/>
      <family val="2"/>
    </font>
    <font>
      <b/>
      <sz val="13"/>
      <color theme="0"/>
      <name val="Arial"/>
      <family val="2"/>
    </font>
    <font>
      <sz val="10"/>
      <name val="Arial"/>
      <family val="2"/>
    </font>
    <font>
      <b/>
      <sz val="13"/>
      <color rgb="FF002060"/>
      <name val="Arial"/>
      <family val="2"/>
    </font>
    <font>
      <sz val="13"/>
      <color rgb="FF002060"/>
      <name val="Arial"/>
      <family val="2"/>
    </font>
    <font>
      <sz val="11"/>
      <color rgb="FF002060"/>
      <name val="Arial"/>
      <family val="2"/>
    </font>
    <font>
      <b/>
      <sz val="11"/>
      <color theme="1"/>
      <name val="Arial"/>
      <family val="2"/>
    </font>
    <font>
      <sz val="13"/>
      <color rgb="FF183152"/>
      <name val="Arial"/>
      <family val="2"/>
    </font>
    <font>
      <b/>
      <sz val="13"/>
      <color rgb="FF183152"/>
      <name val="Arial"/>
      <family val="2"/>
    </font>
    <font>
      <sz val="11"/>
      <color rgb="FFFF0000"/>
      <name val="Arial"/>
      <family val="2"/>
    </font>
  </fonts>
  <fills count="8">
    <fill>
      <patternFill patternType="none"/>
    </fill>
    <fill>
      <patternFill patternType="gray125"/>
    </fill>
    <fill>
      <patternFill patternType="solid">
        <fgColor rgb="FF183152"/>
        <bgColor indexed="64"/>
      </patternFill>
    </fill>
    <fill>
      <patternFill patternType="solid">
        <fgColor theme="0" tint="-0.14999847407452621"/>
        <bgColor rgb="FF000000"/>
      </patternFill>
    </fill>
    <fill>
      <patternFill patternType="solid">
        <fgColor theme="0" tint="-0.249977111117893"/>
        <bgColor rgb="FF000000"/>
      </patternFill>
    </fill>
    <fill>
      <patternFill patternType="solid">
        <fgColor rgb="FFBFBFBF"/>
        <bgColor rgb="FF000000"/>
      </patternFill>
    </fill>
    <fill>
      <patternFill patternType="solid">
        <fgColor theme="0"/>
        <bgColor rgb="FF000000"/>
      </patternFill>
    </fill>
    <fill>
      <patternFill patternType="solid">
        <fgColor rgb="FF003C69"/>
        <bgColor indexed="64"/>
      </patternFill>
    </fill>
  </fills>
  <borders count="2">
    <border>
      <left/>
      <right/>
      <top/>
      <bottom/>
      <diagonal/>
    </border>
    <border>
      <left/>
      <right/>
      <top style="thin">
        <color indexed="64"/>
      </top>
      <bottom style="thin">
        <color indexed="64"/>
      </bottom>
      <diagonal/>
    </border>
  </borders>
  <cellStyleXfs count="7">
    <xf numFmtId="0" fontId="0" fillId="0" borderId="0"/>
    <xf numFmtId="164"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8" fillId="0" borderId="0"/>
  </cellStyleXfs>
  <cellXfs count="94">
    <xf numFmtId="0" fontId="0" fillId="0" borderId="0" xfId="0"/>
    <xf numFmtId="0" fontId="2" fillId="0" borderId="0" xfId="0" applyFont="1" applyAlignment="1">
      <alignment vertical="center"/>
    </xf>
    <xf numFmtId="0" fontId="3" fillId="0" borderId="0" xfId="0" applyFont="1"/>
    <xf numFmtId="0" fontId="3" fillId="0" borderId="0" xfId="0" applyFont="1" applyAlignment="1">
      <alignment horizontal="center"/>
    </xf>
    <xf numFmtId="0" fontId="5" fillId="0" borderId="0" xfId="0" applyFont="1" applyAlignment="1">
      <alignment vertical="center"/>
    </xf>
    <xf numFmtId="17" fontId="4" fillId="0" borderId="0" xfId="0" applyNumberFormat="1" applyFont="1" applyAlignment="1">
      <alignment horizontal="center" vertical="center"/>
    </xf>
    <xf numFmtId="0" fontId="5" fillId="0" borderId="0" xfId="0" applyFont="1" applyAlignment="1">
      <alignment vertical="center" wrapText="1"/>
    </xf>
    <xf numFmtId="3" fontId="9" fillId="0" borderId="0" xfId="3" applyNumberFormat="1" applyFont="1" applyFill="1" applyBorder="1" applyAlignment="1">
      <alignment vertical="center" wrapText="1"/>
    </xf>
    <xf numFmtId="0" fontId="6" fillId="0" borderId="0" xfId="0" applyFont="1" applyAlignment="1">
      <alignment horizontal="center" vertical="center"/>
    </xf>
    <xf numFmtId="0" fontId="7" fillId="0" borderId="0" xfId="0" applyFont="1" applyAlignment="1">
      <alignment horizontal="center" vertical="center"/>
    </xf>
    <xf numFmtId="0" fontId="9" fillId="0" borderId="0" xfId="3" applyFont="1" applyFill="1" applyBorder="1" applyAlignment="1">
      <alignment horizontal="left" vertical="center"/>
    </xf>
    <xf numFmtId="0" fontId="10" fillId="0" borderId="0" xfId="0" applyFont="1"/>
    <xf numFmtId="165" fontId="9" fillId="0" borderId="0" xfId="1" applyNumberFormat="1" applyFont="1" applyFill="1" applyAlignment="1">
      <alignment horizontal="right" vertical="center"/>
    </xf>
    <xf numFmtId="165" fontId="9" fillId="0" borderId="0" xfId="1" applyNumberFormat="1" applyFont="1" applyAlignment="1">
      <alignment horizontal="right" vertical="center"/>
    </xf>
    <xf numFmtId="165" fontId="10" fillId="0" borderId="0" xfId="1" applyNumberFormat="1" applyFont="1" applyAlignment="1">
      <alignment horizontal="right" vertical="center"/>
    </xf>
    <xf numFmtId="165" fontId="10" fillId="0" borderId="0" xfId="1" applyNumberFormat="1" applyFont="1" applyBorder="1" applyAlignment="1">
      <alignment horizontal="right" vertical="center"/>
    </xf>
    <xf numFmtId="0" fontId="10" fillId="0" borderId="0" xfId="3" applyFont="1" applyFill="1" applyBorder="1" applyAlignment="1">
      <alignment horizontal="left" vertical="center" indent="1"/>
    </xf>
    <xf numFmtId="0" fontId="9" fillId="0" borderId="0" xfId="0" applyFont="1" applyAlignment="1">
      <alignment horizontal="left" vertical="center"/>
    </xf>
    <xf numFmtId="165" fontId="9" fillId="0" borderId="0" xfId="1" applyNumberFormat="1" applyFont="1" applyFill="1" applyBorder="1" applyAlignment="1">
      <alignment horizontal="right" vertical="center"/>
    </xf>
    <xf numFmtId="0" fontId="10" fillId="0" borderId="0" xfId="0" applyFont="1" applyAlignment="1">
      <alignment horizontal="left" vertical="center"/>
    </xf>
    <xf numFmtId="0" fontId="10" fillId="0" borderId="0" xfId="3" applyFont="1" applyFill="1" applyBorder="1" applyAlignment="1">
      <alignment horizontal="left" vertical="center" indent="2"/>
    </xf>
    <xf numFmtId="165" fontId="10" fillId="0" borderId="0" xfId="1" applyNumberFormat="1" applyFont="1" applyFill="1" applyBorder="1" applyAlignment="1">
      <alignment horizontal="right" vertical="center"/>
    </xf>
    <xf numFmtId="0" fontId="10" fillId="0" borderId="0" xfId="0" applyFont="1" applyAlignment="1">
      <alignment horizontal="center"/>
    </xf>
    <xf numFmtId="165" fontId="10" fillId="0" borderId="0" xfId="1" applyNumberFormat="1" applyFont="1" applyFill="1" applyBorder="1" applyAlignment="1">
      <alignment horizontal="center" vertical="center"/>
    </xf>
    <xf numFmtId="0" fontId="10" fillId="0" borderId="0" xfId="0" applyFont="1" applyAlignment="1">
      <alignment horizontal="left" vertical="center" indent="1"/>
    </xf>
    <xf numFmtId="165" fontId="10" fillId="0" borderId="0" xfId="1" applyNumberFormat="1" applyFont="1" applyFill="1" applyAlignment="1">
      <alignment horizontal="right" vertical="center"/>
    </xf>
    <xf numFmtId="0" fontId="10" fillId="0" borderId="0" xfId="0" applyFont="1" applyAlignment="1">
      <alignment horizontal="left" vertical="center" indent="2"/>
    </xf>
    <xf numFmtId="0" fontId="9" fillId="0" borderId="1" xfId="0" applyFont="1" applyBorder="1" applyAlignment="1">
      <alignment horizontal="left" vertical="center"/>
    </xf>
    <xf numFmtId="165" fontId="9" fillId="0" borderId="1" xfId="1" applyNumberFormat="1" applyFont="1" applyFill="1" applyBorder="1" applyAlignment="1">
      <alignment horizontal="left" vertical="center"/>
    </xf>
    <xf numFmtId="165" fontId="10" fillId="0" borderId="0" xfId="1" applyNumberFormat="1" applyFont="1" applyFill="1" applyBorder="1" applyAlignment="1">
      <alignment vertical="center"/>
    </xf>
    <xf numFmtId="0" fontId="10" fillId="0" borderId="0" xfId="3" applyFont="1" applyFill="1" applyBorder="1" applyAlignment="1">
      <alignment horizontal="left" vertical="center"/>
    </xf>
    <xf numFmtId="165" fontId="9" fillId="0" borderId="0" xfId="1" applyNumberFormat="1" applyFont="1" applyBorder="1" applyAlignment="1">
      <alignment horizontal="center" vertical="center"/>
    </xf>
    <xf numFmtId="165" fontId="10" fillId="0" borderId="0" xfId="1" applyNumberFormat="1" applyFont="1" applyBorder="1" applyAlignment="1">
      <alignment horizontal="center" vertical="center"/>
    </xf>
    <xf numFmtId="165" fontId="11" fillId="0" borderId="0" xfId="1" applyNumberFormat="1" applyFont="1" applyAlignment="1">
      <alignment horizontal="center" vertical="center"/>
    </xf>
    <xf numFmtId="165" fontId="10" fillId="0" borderId="0" xfId="1" applyNumberFormat="1" applyFont="1" applyAlignment="1">
      <alignment horizontal="center" vertical="center"/>
    </xf>
    <xf numFmtId="3" fontId="9" fillId="3" borderId="1" xfId="3" applyNumberFormat="1" applyFont="1" applyFill="1" applyBorder="1" applyAlignment="1">
      <alignment vertical="center" wrapText="1"/>
    </xf>
    <xf numFmtId="165" fontId="9" fillId="3" borderId="1" xfId="1" applyNumberFormat="1" applyFont="1" applyFill="1" applyBorder="1" applyAlignment="1">
      <alignment vertical="center" wrapText="1"/>
    </xf>
    <xf numFmtId="0" fontId="12" fillId="0" borderId="0" xfId="0" applyFont="1"/>
    <xf numFmtId="3" fontId="9" fillId="4" borderId="1" xfId="3" applyNumberFormat="1" applyFont="1" applyFill="1" applyBorder="1" applyAlignment="1">
      <alignment vertical="center" wrapText="1"/>
    </xf>
    <xf numFmtId="165" fontId="9" fillId="5" borderId="1" xfId="1" applyNumberFormat="1" applyFont="1" applyFill="1" applyBorder="1" applyAlignment="1">
      <alignment vertical="center" wrapText="1"/>
    </xf>
    <xf numFmtId="165" fontId="9" fillId="4" borderId="1" xfId="1" applyNumberFormat="1" applyFont="1" applyFill="1" applyBorder="1" applyAlignment="1">
      <alignment vertical="center" wrapText="1"/>
    </xf>
    <xf numFmtId="165" fontId="9" fillId="0" borderId="0" xfId="1" applyNumberFormat="1" applyFont="1" applyFill="1" applyBorder="1" applyAlignment="1">
      <alignment vertical="center" wrapText="1"/>
    </xf>
    <xf numFmtId="0" fontId="9" fillId="0" borderId="0" xfId="0" applyFont="1"/>
    <xf numFmtId="0" fontId="10" fillId="0" borderId="0" xfId="0" applyFont="1" applyAlignment="1">
      <alignment vertical="center"/>
    </xf>
    <xf numFmtId="3" fontId="10" fillId="0" borderId="0" xfId="3" applyNumberFormat="1" applyFont="1" applyFill="1" applyBorder="1" applyAlignment="1">
      <alignment vertical="center"/>
    </xf>
    <xf numFmtId="10" fontId="9" fillId="0" borderId="0" xfId="5" applyNumberFormat="1" applyFont="1" applyFill="1" applyBorder="1" applyAlignment="1">
      <alignment vertical="center" wrapText="1"/>
    </xf>
    <xf numFmtId="0" fontId="10" fillId="0" borderId="0" xfId="0" applyFont="1" applyAlignment="1">
      <alignment horizontal="left" vertical="center" wrapText="1" indent="1"/>
    </xf>
    <xf numFmtId="0" fontId="9" fillId="0" borderId="1" xfId="0" applyFont="1" applyBorder="1" applyAlignment="1">
      <alignment vertical="center"/>
    </xf>
    <xf numFmtId="0" fontId="9" fillId="0" borderId="0" xfId="0" applyFont="1" applyAlignment="1">
      <alignment vertical="center"/>
    </xf>
    <xf numFmtId="0" fontId="9" fillId="0" borderId="0" xfId="0" applyFont="1" applyAlignment="1">
      <alignment horizontal="left" vertical="center" wrapText="1"/>
    </xf>
    <xf numFmtId="3" fontId="9" fillId="6" borderId="0" xfId="3" applyNumberFormat="1" applyFont="1" applyFill="1" applyBorder="1" applyAlignment="1">
      <alignment vertical="center" wrapText="1"/>
    </xf>
    <xf numFmtId="0" fontId="9" fillId="0" borderId="1" xfId="0" applyFont="1" applyBorder="1" applyAlignment="1">
      <alignment horizontal="left"/>
    </xf>
    <xf numFmtId="3" fontId="9" fillId="0" borderId="0" xfId="3" applyNumberFormat="1" applyFont="1" applyFill="1" applyBorder="1" applyAlignment="1">
      <alignment vertical="center"/>
    </xf>
    <xf numFmtId="0" fontId="11" fillId="0" borderId="0" xfId="0" applyFont="1"/>
    <xf numFmtId="3" fontId="9" fillId="6" borderId="1" xfId="3" applyNumberFormat="1" applyFont="1" applyFill="1" applyBorder="1" applyAlignment="1">
      <alignment vertical="center" wrapText="1"/>
    </xf>
    <xf numFmtId="0" fontId="10" fillId="0" borderId="0" xfId="0" applyFont="1" applyAlignment="1">
      <alignment vertical="center" wrapText="1"/>
    </xf>
    <xf numFmtId="168" fontId="3" fillId="0" borderId="0" xfId="0" applyNumberFormat="1" applyFont="1" applyAlignment="1">
      <alignment horizontal="center"/>
    </xf>
    <xf numFmtId="0" fontId="13" fillId="0" borderId="0" xfId="0" applyFont="1" applyAlignment="1">
      <alignment horizontal="left" vertical="center" wrapText="1"/>
    </xf>
    <xf numFmtId="0" fontId="13" fillId="0" borderId="0" xfId="0" applyFont="1" applyAlignment="1">
      <alignment vertical="center" wrapText="1"/>
    </xf>
    <xf numFmtId="169" fontId="10" fillId="0" borderId="0" xfId="5" applyNumberFormat="1" applyFont="1" applyFill="1" applyBorder="1" applyAlignment="1">
      <alignment vertical="center" wrapText="1"/>
    </xf>
    <xf numFmtId="0" fontId="14" fillId="0" borderId="0" xfId="0" applyFont="1" applyAlignment="1">
      <alignment horizontal="left" vertical="center" wrapText="1"/>
    </xf>
    <xf numFmtId="0" fontId="14" fillId="0" borderId="0" xfId="0" applyFont="1" applyAlignment="1">
      <alignment vertical="center" wrapText="1"/>
    </xf>
    <xf numFmtId="169" fontId="10" fillId="0" borderId="0" xfId="5" applyNumberFormat="1" applyFont="1" applyFill="1" applyAlignment="1">
      <alignment horizontal="right" vertical="center"/>
    </xf>
    <xf numFmtId="169" fontId="10" fillId="0" borderId="0" xfId="5" applyNumberFormat="1" applyFont="1" applyAlignment="1">
      <alignment horizontal="right" vertical="center"/>
    </xf>
    <xf numFmtId="0" fontId="10" fillId="0" borderId="0" xfId="0" applyFont="1" applyAlignment="1">
      <alignment horizontal="left"/>
    </xf>
    <xf numFmtId="10" fontId="10" fillId="0" borderId="0" xfId="5" applyNumberFormat="1" applyFont="1" applyAlignment="1">
      <alignment horizontal="right" vertical="center"/>
    </xf>
    <xf numFmtId="0" fontId="13" fillId="0" borderId="0" xfId="0" applyFont="1" applyAlignment="1">
      <alignment horizontal="left" vertical="center" wrapText="1" indent="2"/>
    </xf>
    <xf numFmtId="0" fontId="13" fillId="0" borderId="0" xfId="0" applyFont="1" applyAlignment="1">
      <alignment horizontal="left" vertical="center" wrapText="1" indent="1"/>
    </xf>
    <xf numFmtId="10" fontId="10" fillId="0" borderId="0" xfId="5" applyNumberFormat="1" applyFont="1" applyFill="1" applyAlignment="1">
      <alignment horizontal="right" vertical="center"/>
    </xf>
    <xf numFmtId="169" fontId="9" fillId="0" borderId="0" xfId="5" applyNumberFormat="1" applyFont="1" applyFill="1" applyAlignment="1">
      <alignment horizontal="right" vertical="center"/>
    </xf>
    <xf numFmtId="10" fontId="9" fillId="0" borderId="0" xfId="5" applyNumberFormat="1" applyFont="1" applyFill="1" applyAlignment="1">
      <alignment horizontal="right" vertical="center"/>
    </xf>
    <xf numFmtId="169" fontId="3" fillId="0" borderId="0" xfId="5" applyNumberFormat="1" applyFont="1" applyAlignment="1">
      <alignment horizontal="center"/>
    </xf>
    <xf numFmtId="169" fontId="15" fillId="0" borderId="0" xfId="0" applyNumberFormat="1" applyFont="1" applyAlignment="1">
      <alignment horizontal="center"/>
    </xf>
    <xf numFmtId="3" fontId="10" fillId="0" borderId="0" xfId="3" applyNumberFormat="1" applyFont="1" applyFill="1" applyBorder="1" applyAlignment="1">
      <alignment vertical="center" wrapText="1"/>
    </xf>
    <xf numFmtId="0" fontId="9" fillId="0" borderId="0" xfId="0" applyFont="1" applyAlignment="1">
      <alignment vertical="center" wrapText="1"/>
    </xf>
    <xf numFmtId="0" fontId="11" fillId="0" borderId="0" xfId="0" applyFont="1" applyAlignment="1">
      <alignment horizontal="center"/>
    </xf>
    <xf numFmtId="170" fontId="10" fillId="0" borderId="0" xfId="1" applyNumberFormat="1" applyFont="1" applyAlignment="1">
      <alignment horizontal="center"/>
    </xf>
    <xf numFmtId="165" fontId="10" fillId="0" borderId="0" xfId="1" applyNumberFormat="1" applyFont="1" applyAlignment="1">
      <alignment horizontal="center"/>
    </xf>
    <xf numFmtId="165" fontId="10" fillId="0" borderId="0" xfId="1" applyNumberFormat="1" applyFont="1" applyFill="1" applyAlignment="1">
      <alignment horizontal="center"/>
    </xf>
    <xf numFmtId="165" fontId="9" fillId="0" borderId="0" xfId="1" applyNumberFormat="1" applyFont="1" applyFill="1" applyAlignment="1">
      <alignment horizontal="center"/>
    </xf>
    <xf numFmtId="43" fontId="10" fillId="0" borderId="0" xfId="0" applyNumberFormat="1" applyFont="1" applyAlignment="1">
      <alignment horizontal="center"/>
    </xf>
    <xf numFmtId="165" fontId="10" fillId="0" borderId="0" xfId="0" applyNumberFormat="1" applyFont="1" applyAlignment="1">
      <alignment horizontal="center"/>
    </xf>
    <xf numFmtId="41" fontId="9" fillId="0" borderId="0" xfId="2" applyNumberFormat="1" applyFont="1" applyFill="1" applyAlignment="1">
      <alignment horizontal="center"/>
    </xf>
    <xf numFmtId="41" fontId="10" fillId="0" borderId="0" xfId="2" applyNumberFormat="1" applyFont="1" applyFill="1" applyAlignment="1">
      <alignment horizontal="center"/>
    </xf>
    <xf numFmtId="41" fontId="9" fillId="0" borderId="0" xfId="0" applyNumberFormat="1" applyFont="1" applyAlignment="1">
      <alignment horizontal="center"/>
    </xf>
    <xf numFmtId="41" fontId="10" fillId="0" borderId="0" xfId="0" applyNumberFormat="1" applyFont="1" applyAlignment="1">
      <alignment horizontal="center"/>
    </xf>
    <xf numFmtId="10" fontId="10" fillId="0" borderId="0" xfId="2" applyNumberFormat="1" applyFont="1" applyFill="1" applyAlignment="1">
      <alignment horizontal="center"/>
    </xf>
    <xf numFmtId="10" fontId="3" fillId="0" borderId="0" xfId="2" applyNumberFormat="1" applyFont="1" applyFill="1" applyAlignment="1">
      <alignment horizontal="center"/>
    </xf>
    <xf numFmtId="3" fontId="7" fillId="7" borderId="0" xfId="3" applyNumberFormat="1" applyFont="1" applyFill="1" applyBorder="1" applyAlignment="1">
      <alignment horizontal="center" vertical="center" wrapText="1"/>
    </xf>
    <xf numFmtId="17" fontId="7" fillId="7" borderId="0" xfId="0" applyNumberFormat="1" applyFont="1" applyFill="1" applyAlignment="1">
      <alignment horizontal="left" vertical="center" wrapText="1"/>
    </xf>
    <xf numFmtId="17" fontId="7" fillId="7" borderId="0" xfId="0" applyNumberFormat="1" applyFont="1" applyFill="1" applyAlignment="1">
      <alignment horizontal="center" vertical="center" wrapText="1"/>
    </xf>
    <xf numFmtId="17" fontId="7" fillId="2" borderId="0" xfId="0" applyNumberFormat="1" applyFont="1" applyFill="1" applyAlignment="1">
      <alignment horizontal="center" vertical="center"/>
    </xf>
    <xf numFmtId="17" fontId="7" fillId="2" borderId="0" xfId="0" applyNumberFormat="1" applyFont="1" applyFill="1" applyAlignment="1">
      <alignment horizontal="center" vertical="center" wrapText="1"/>
    </xf>
    <xf numFmtId="0" fontId="6" fillId="2" borderId="0" xfId="0" applyFont="1" applyFill="1" applyAlignment="1">
      <alignment horizontal="center" vertical="center"/>
    </xf>
  </cellXfs>
  <cellStyles count="7">
    <cellStyle name="Millares" xfId="1" builtinId="3"/>
    <cellStyle name="Millares 2" xfId="4" xr:uid="{012942D6-03A8-4452-8D8D-B5CFADC85F10}"/>
    <cellStyle name="Normal" xfId="0" builtinId="0"/>
    <cellStyle name="Normal 2 2" xfId="6" xr:uid="{D3B53481-380A-414F-B668-B7CCB2C6CBFE}"/>
    <cellStyle name="Normal 2 2 2" xfId="3" xr:uid="{596A49E5-2850-4200-BB48-1DE8B5A16651}"/>
    <cellStyle name="Percent" xfId="5" xr:uid="{2FF54747-EB97-4436-AFB4-B80EA8B1D74A}"/>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83892-EBA0-4429-8B35-8E3DBDBA65CD}">
  <sheetPr>
    <tabColor rgb="FFC00000"/>
    <pageSetUpPr fitToPage="1"/>
  </sheetPr>
  <dimension ref="A1:CH296"/>
  <sheetViews>
    <sheetView showGridLines="0" tabSelected="1" zoomScale="55" zoomScaleNormal="55" workbookViewId="0">
      <selection activeCell="C11" sqref="C11:C12"/>
    </sheetView>
  </sheetViews>
  <sheetFormatPr baseColWidth="10" defaultColWidth="11.42578125" defaultRowHeight="14.25" outlineLevelRow="1" x14ac:dyDescent="0.2"/>
  <cols>
    <col min="1" max="1" width="107.140625" style="2" customWidth="1"/>
    <col min="2" max="2" width="18.5703125" style="3" bestFit="1" customWidth="1"/>
    <col min="3" max="5" width="19.140625" style="3" bestFit="1" customWidth="1"/>
    <col min="6" max="6" width="18.5703125" style="3" bestFit="1" customWidth="1"/>
    <col min="7" max="21" width="19.5703125" style="3" customWidth="1"/>
    <col min="22" max="16384" width="11.42578125" style="2"/>
  </cols>
  <sheetData>
    <row r="1" spans="1:21" ht="20.25" x14ac:dyDescent="0.2">
      <c r="A1" s="1" t="s">
        <v>0</v>
      </c>
    </row>
    <row r="2" spans="1:21" ht="20.25" x14ac:dyDescent="0.2">
      <c r="A2" s="1" t="s">
        <v>1</v>
      </c>
    </row>
    <row r="3" spans="1:21" ht="20.25" x14ac:dyDescent="0.2">
      <c r="A3" s="1" t="s">
        <v>2</v>
      </c>
    </row>
    <row r="4" spans="1:21" ht="20.25" x14ac:dyDescent="0.2">
      <c r="A4" s="1" t="s">
        <v>3</v>
      </c>
      <c r="B4" s="5"/>
      <c r="C4" s="5"/>
      <c r="D4" s="5"/>
      <c r="E4" s="5"/>
      <c r="F4" s="5"/>
      <c r="G4" s="5"/>
      <c r="H4" s="5"/>
      <c r="I4" s="5"/>
      <c r="J4" s="5"/>
      <c r="K4" s="5"/>
      <c r="L4" s="5"/>
      <c r="M4" s="5"/>
      <c r="N4" s="5"/>
      <c r="O4" s="5"/>
      <c r="P4" s="5"/>
      <c r="Q4" s="5"/>
      <c r="R4" s="5"/>
      <c r="S4" s="5"/>
      <c r="T4" s="5"/>
      <c r="U4" s="5"/>
    </row>
    <row r="5" spans="1:21" ht="20.25" x14ac:dyDescent="0.2">
      <c r="A5" s="1"/>
      <c r="B5" s="5"/>
      <c r="C5" s="5"/>
      <c r="D5" s="5"/>
      <c r="E5" s="5"/>
      <c r="F5" s="5"/>
      <c r="G5" s="5"/>
      <c r="H5" s="5"/>
      <c r="I5" s="5"/>
      <c r="J5" s="5"/>
      <c r="K5" s="5"/>
      <c r="L5" s="5"/>
      <c r="M5" s="5"/>
      <c r="N5" s="5"/>
      <c r="O5" s="5"/>
      <c r="P5" s="5"/>
      <c r="Q5" s="5"/>
      <c r="R5" s="5"/>
      <c r="S5" s="5"/>
      <c r="T5" s="5"/>
      <c r="U5" s="5"/>
    </row>
    <row r="6" spans="1:21" ht="112.5" hidden="1" outlineLevel="1" x14ac:dyDescent="0.2">
      <c r="A6" s="6" t="s">
        <v>5</v>
      </c>
      <c r="B6" s="5"/>
      <c r="C6" s="5"/>
      <c r="D6" s="5"/>
      <c r="E6" s="5"/>
      <c r="F6" s="5"/>
      <c r="G6" s="5"/>
      <c r="H6" s="5"/>
      <c r="I6" s="5"/>
      <c r="J6" s="5"/>
      <c r="K6" s="5"/>
      <c r="L6" s="5"/>
      <c r="M6" s="5"/>
      <c r="N6" s="5"/>
      <c r="O6" s="5"/>
      <c r="P6" s="5"/>
      <c r="Q6" s="5"/>
      <c r="R6" s="5"/>
      <c r="S6" s="5"/>
      <c r="T6" s="5"/>
      <c r="U6" s="5"/>
    </row>
    <row r="7" spans="1:21" ht="75" hidden="1" outlineLevel="1" x14ac:dyDescent="0.2">
      <c r="A7" s="6" t="s">
        <v>6</v>
      </c>
      <c r="B7" s="5"/>
      <c r="C7" s="5"/>
      <c r="D7" s="5"/>
      <c r="E7" s="5"/>
      <c r="F7" s="5"/>
      <c r="G7" s="5"/>
      <c r="H7" s="5"/>
      <c r="I7" s="5"/>
      <c r="J7" s="5"/>
      <c r="K7" s="5"/>
      <c r="L7" s="5"/>
      <c r="M7" s="5"/>
      <c r="N7" s="5"/>
      <c r="O7" s="5"/>
      <c r="P7" s="5"/>
      <c r="Q7" s="5"/>
      <c r="R7" s="5"/>
      <c r="S7" s="5"/>
      <c r="T7" s="5"/>
      <c r="U7" s="5"/>
    </row>
    <row r="8" spans="1:21" ht="18.75" hidden="1" outlineLevel="1" x14ac:dyDescent="0.2">
      <c r="A8" s="6" t="s">
        <v>7</v>
      </c>
      <c r="B8" s="5"/>
      <c r="C8" s="5"/>
      <c r="D8" s="5"/>
      <c r="E8" s="5"/>
      <c r="F8" s="5"/>
      <c r="G8" s="5"/>
      <c r="H8" s="5"/>
      <c r="I8" s="5"/>
      <c r="J8" s="5"/>
      <c r="K8" s="5"/>
      <c r="L8" s="5"/>
      <c r="M8" s="5"/>
      <c r="N8" s="5"/>
      <c r="O8" s="5"/>
      <c r="P8" s="5"/>
      <c r="Q8" s="5"/>
      <c r="R8" s="5"/>
      <c r="S8" s="5"/>
      <c r="T8" s="5"/>
      <c r="U8" s="5"/>
    </row>
    <row r="9" spans="1:21" ht="131.25" hidden="1" outlineLevel="1" x14ac:dyDescent="0.2">
      <c r="A9" s="6" t="s">
        <v>8</v>
      </c>
      <c r="B9" s="5"/>
      <c r="C9" s="5"/>
      <c r="D9" s="5"/>
      <c r="E9" s="5"/>
      <c r="F9" s="5"/>
      <c r="G9" s="5"/>
      <c r="H9" s="5"/>
      <c r="I9" s="5"/>
      <c r="J9" s="5"/>
      <c r="K9" s="5"/>
      <c r="L9" s="5"/>
      <c r="M9" s="5"/>
      <c r="N9" s="5"/>
      <c r="O9" s="5"/>
      <c r="P9" s="5"/>
      <c r="Q9" s="5"/>
      <c r="R9" s="5"/>
      <c r="S9" s="5"/>
      <c r="T9" s="5"/>
      <c r="U9" s="5"/>
    </row>
    <row r="10" spans="1:21" ht="18.75" customHeight="1" collapsed="1" x14ac:dyDescent="0.2">
      <c r="A10" s="4"/>
      <c r="B10" s="5"/>
      <c r="C10" s="5"/>
      <c r="D10" s="5"/>
      <c r="E10" s="5"/>
      <c r="F10" s="5"/>
      <c r="G10" s="5"/>
      <c r="H10" s="5"/>
      <c r="I10" s="5"/>
      <c r="J10" s="5"/>
      <c r="K10" s="5"/>
      <c r="L10" s="5"/>
      <c r="M10" s="5"/>
      <c r="N10" s="5"/>
      <c r="O10" s="5"/>
      <c r="P10" s="5"/>
      <c r="Q10" s="5"/>
      <c r="R10" s="5"/>
      <c r="S10" s="5"/>
      <c r="T10" s="5"/>
      <c r="U10" s="5"/>
    </row>
    <row r="11" spans="1:21" ht="17.25" customHeight="1" x14ac:dyDescent="0.2">
      <c r="A11" s="93" t="s">
        <v>9</v>
      </c>
      <c r="B11" s="92" t="s">
        <v>10</v>
      </c>
      <c r="C11" s="92" t="s">
        <v>11</v>
      </c>
      <c r="D11" s="92" t="s">
        <v>12</v>
      </c>
      <c r="E11" s="92" t="s">
        <v>13</v>
      </c>
      <c r="F11" s="92" t="s">
        <v>14</v>
      </c>
      <c r="G11" s="91" t="s">
        <v>201</v>
      </c>
      <c r="H11" s="91" t="s">
        <v>202</v>
      </c>
      <c r="I11" s="91" t="s">
        <v>203</v>
      </c>
      <c r="J11" s="91" t="s">
        <v>204</v>
      </c>
      <c r="K11" s="91" t="s">
        <v>205</v>
      </c>
      <c r="L11" s="91" t="s">
        <v>206</v>
      </c>
      <c r="M11" s="91" t="s">
        <v>4</v>
      </c>
      <c r="N11" s="91" t="s">
        <v>207</v>
      </c>
      <c r="O11" s="91" t="s">
        <v>208</v>
      </c>
      <c r="P11" s="91" t="s">
        <v>209</v>
      </c>
      <c r="Q11" s="91" t="s">
        <v>210</v>
      </c>
      <c r="R11" s="91" t="s">
        <v>211</v>
      </c>
      <c r="S11" s="91" t="s">
        <v>212</v>
      </c>
      <c r="T11" s="91" t="s">
        <v>213</v>
      </c>
      <c r="U11" s="91" t="s">
        <v>214</v>
      </c>
    </row>
    <row r="12" spans="1:21" ht="17.25" customHeight="1" x14ac:dyDescent="0.2">
      <c r="A12" s="93"/>
      <c r="B12" s="92"/>
      <c r="C12" s="92"/>
      <c r="D12" s="92"/>
      <c r="E12" s="92"/>
      <c r="F12" s="92"/>
      <c r="G12" s="91"/>
      <c r="H12" s="91"/>
      <c r="I12" s="91"/>
      <c r="J12" s="91"/>
      <c r="K12" s="91"/>
      <c r="L12" s="91"/>
      <c r="M12" s="91"/>
      <c r="N12" s="91"/>
      <c r="O12" s="91"/>
      <c r="P12" s="91"/>
      <c r="Q12" s="91"/>
      <c r="R12" s="91"/>
      <c r="S12" s="91"/>
      <c r="T12" s="91"/>
      <c r="U12" s="91"/>
    </row>
    <row r="13" spans="1:21" ht="5.25" customHeight="1" x14ac:dyDescent="0.2">
      <c r="A13" s="8"/>
      <c r="B13" s="9"/>
      <c r="C13" s="9"/>
      <c r="D13" s="9"/>
      <c r="E13" s="9"/>
      <c r="F13" s="9"/>
      <c r="G13" s="9"/>
      <c r="H13" s="9"/>
      <c r="I13" s="9"/>
      <c r="J13" s="9"/>
      <c r="K13" s="9"/>
      <c r="L13" s="9"/>
      <c r="M13" s="9"/>
      <c r="N13" s="9"/>
      <c r="O13" s="9"/>
      <c r="P13" s="9"/>
      <c r="Q13" s="9"/>
      <c r="R13" s="9"/>
      <c r="S13" s="9"/>
      <c r="T13" s="9"/>
      <c r="U13" s="9"/>
    </row>
    <row r="14" spans="1:21" ht="16.5" x14ac:dyDescent="0.2">
      <c r="A14" s="10" t="s">
        <v>90</v>
      </c>
      <c r="B14" s="12">
        <v>16471.860526751312</v>
      </c>
      <c r="C14" s="13">
        <v>17869.551847938976</v>
      </c>
      <c r="D14" s="13">
        <v>18471.81920542537</v>
      </c>
      <c r="E14" s="13">
        <v>18801.597861403257</v>
      </c>
      <c r="F14" s="13">
        <v>17752.102798990083</v>
      </c>
      <c r="G14" s="13">
        <v>16407.077412164497</v>
      </c>
      <c r="H14" s="13">
        <v>21441.109610119289</v>
      </c>
      <c r="I14" s="13">
        <v>18013.902951818258</v>
      </c>
      <c r="J14" s="13">
        <v>17032.856778506321</v>
      </c>
      <c r="K14" s="13">
        <v>19327.846700351187</v>
      </c>
      <c r="L14" s="13">
        <v>19195.666647103826</v>
      </c>
      <c r="M14" s="13">
        <v>18382.277028150485</v>
      </c>
      <c r="N14" s="13">
        <v>18597.860926765825</v>
      </c>
      <c r="O14" s="13">
        <v>18568.325378409238</v>
      </c>
      <c r="P14" s="13">
        <v>19296.305265017261</v>
      </c>
      <c r="Q14" s="13">
        <v>19151.9248461567</v>
      </c>
      <c r="R14" s="13">
        <v>16998.85888062718</v>
      </c>
      <c r="S14" s="12">
        <v>19138.438287446384</v>
      </c>
      <c r="T14" s="12">
        <v>18633.941807090774</v>
      </c>
      <c r="U14" s="12">
        <v>18081.295573453233</v>
      </c>
    </row>
    <row r="15" spans="1:21" ht="5.25" customHeight="1" x14ac:dyDescent="0.2">
      <c r="A15" s="10"/>
      <c r="B15" s="14"/>
      <c r="C15" s="14"/>
      <c r="D15" s="14"/>
      <c r="E15" s="14"/>
      <c r="F15" s="14"/>
      <c r="G15" s="14"/>
      <c r="H15" s="14"/>
      <c r="I15" s="14"/>
      <c r="J15" s="14"/>
      <c r="K15" s="14"/>
      <c r="L15" s="14"/>
      <c r="M15" s="14"/>
      <c r="N15" s="14"/>
      <c r="O15" s="14"/>
      <c r="P15" s="14"/>
      <c r="Q15" s="14"/>
      <c r="R15" s="14"/>
      <c r="S15" s="14"/>
      <c r="T15" s="14"/>
      <c r="U15" s="14"/>
    </row>
    <row r="16" spans="1:21" ht="16.5" x14ac:dyDescent="0.2">
      <c r="A16" s="10" t="s">
        <v>91</v>
      </c>
      <c r="B16" s="15"/>
      <c r="C16" s="15"/>
      <c r="D16" s="15"/>
      <c r="E16" s="15"/>
      <c r="F16" s="15"/>
      <c r="G16" s="15"/>
      <c r="H16" s="15"/>
      <c r="I16" s="15"/>
      <c r="J16" s="15"/>
      <c r="K16" s="15"/>
      <c r="L16" s="15"/>
      <c r="M16" s="15"/>
      <c r="N16" s="15"/>
      <c r="O16" s="15"/>
      <c r="P16" s="15"/>
      <c r="Q16" s="15"/>
      <c r="R16" s="15"/>
      <c r="S16" s="15"/>
      <c r="T16" s="15"/>
      <c r="U16" s="15"/>
    </row>
    <row r="17" spans="1:21" ht="16.5" x14ac:dyDescent="0.2">
      <c r="A17" s="16" t="s">
        <v>92</v>
      </c>
      <c r="B17" s="15">
        <v>4661.0258309311839</v>
      </c>
      <c r="C17" s="15">
        <v>5697.5522895609129</v>
      </c>
      <c r="D17" s="15">
        <v>5318.3387663770063</v>
      </c>
      <c r="E17" s="15">
        <v>4796.8848223883224</v>
      </c>
      <c r="F17" s="15">
        <v>4601.4517392355701</v>
      </c>
      <c r="G17" s="15">
        <v>3247.2638695281812</v>
      </c>
      <c r="H17" s="15">
        <v>3979.9988061298768</v>
      </c>
      <c r="I17" s="15">
        <v>4081.4518216321262</v>
      </c>
      <c r="J17" s="15">
        <v>3760.887450242908</v>
      </c>
      <c r="K17" s="15">
        <v>5145.5658630329572</v>
      </c>
      <c r="L17" s="15">
        <v>5323.2696989577398</v>
      </c>
      <c r="M17" s="15">
        <v>5764.3673643958182</v>
      </c>
      <c r="N17" s="15">
        <v>7113.3796250859104</v>
      </c>
      <c r="O17" s="15">
        <v>7770.1013832498465</v>
      </c>
      <c r="P17" s="15">
        <v>8812.9254477003524</v>
      </c>
      <c r="Q17" s="15">
        <v>11914.039822195209</v>
      </c>
      <c r="R17" s="15">
        <v>11937.413498950647</v>
      </c>
      <c r="S17" s="15">
        <v>11767.623668578866</v>
      </c>
      <c r="T17" s="15">
        <v>14894.292186134568</v>
      </c>
      <c r="U17" s="15">
        <v>17800.181913573764</v>
      </c>
    </row>
    <row r="18" spans="1:21" ht="16.5" x14ac:dyDescent="0.2">
      <c r="A18" s="16" t="s">
        <v>93</v>
      </c>
      <c r="B18" s="15">
        <v>5082.1670937892686</v>
      </c>
      <c r="C18" s="15">
        <v>4669.8689013482444</v>
      </c>
      <c r="D18" s="15">
        <v>5222.0110429087499</v>
      </c>
      <c r="E18" s="15">
        <v>5156.5077430461615</v>
      </c>
      <c r="F18" s="15">
        <v>5032.2208347118531</v>
      </c>
      <c r="G18" s="15">
        <v>5254.6530403400911</v>
      </c>
      <c r="H18" s="15">
        <v>5022.156262039126</v>
      </c>
      <c r="I18" s="15">
        <v>5317.7965344486347</v>
      </c>
      <c r="J18" s="15">
        <v>6039.1154903554552</v>
      </c>
      <c r="K18" s="15">
        <v>6525.1436524405053</v>
      </c>
      <c r="L18" s="15">
        <v>6018.7285939949461</v>
      </c>
      <c r="M18" s="15">
        <v>5437.7860819866164</v>
      </c>
      <c r="N18" s="15">
        <v>6260.1738983597907</v>
      </c>
      <c r="O18" s="15">
        <v>6378.3088331126382</v>
      </c>
      <c r="P18" s="15">
        <v>6609.4875408743819</v>
      </c>
      <c r="Q18" s="15">
        <v>7510.1628213766544</v>
      </c>
      <c r="R18" s="15">
        <v>7256.5060869825784</v>
      </c>
      <c r="S18" s="15">
        <v>8129.3301437241889</v>
      </c>
      <c r="T18" s="15">
        <v>8436.9509404288929</v>
      </c>
      <c r="U18" s="15">
        <v>8712.1533482586819</v>
      </c>
    </row>
    <row r="19" spans="1:21" ht="16.5" x14ac:dyDescent="0.2">
      <c r="A19" s="16" t="s">
        <v>94</v>
      </c>
      <c r="B19" s="15">
        <v>1131.3226838829701</v>
      </c>
      <c r="C19" s="15">
        <v>835.30231545349011</v>
      </c>
      <c r="D19" s="15">
        <v>705.12989052466492</v>
      </c>
      <c r="E19" s="15">
        <v>697.21076702791299</v>
      </c>
      <c r="F19" s="15">
        <v>1162.756608161646</v>
      </c>
      <c r="G19" s="15">
        <v>1344.8169242226654</v>
      </c>
      <c r="H19" s="15">
        <v>1886.2756352935994</v>
      </c>
      <c r="I19" s="15">
        <v>2471.633278933004</v>
      </c>
      <c r="J19" s="15">
        <v>2041.4045528011757</v>
      </c>
      <c r="K19" s="15">
        <v>1914.7536799677421</v>
      </c>
      <c r="L19" s="15">
        <v>1914.0908609610713</v>
      </c>
      <c r="M19" s="15">
        <v>1733.887378696</v>
      </c>
      <c r="N19" s="15">
        <v>2077.5666154850001</v>
      </c>
      <c r="O19" s="15">
        <v>1236.047992669</v>
      </c>
      <c r="P19" s="15">
        <v>1108.8103405879999</v>
      </c>
      <c r="Q19" s="15">
        <v>810.40682348999997</v>
      </c>
      <c r="R19" s="15">
        <v>969.29351914799997</v>
      </c>
      <c r="S19" s="15">
        <v>981.946513729</v>
      </c>
      <c r="T19" s="15">
        <v>1337.67732598</v>
      </c>
      <c r="U19" s="15">
        <v>1544.225679446</v>
      </c>
    </row>
    <row r="20" spans="1:21" ht="16.5" x14ac:dyDescent="0.2">
      <c r="A20" s="17" t="s">
        <v>95</v>
      </c>
      <c r="B20" s="18">
        <f t="shared" ref="B20:H20" si="0">+SUM(B17:B19)</f>
        <v>10874.515608603424</v>
      </c>
      <c r="C20" s="18">
        <f t="shared" si="0"/>
        <v>11202.723506362647</v>
      </c>
      <c r="D20" s="18">
        <f t="shared" si="0"/>
        <v>11245.479699810421</v>
      </c>
      <c r="E20" s="18">
        <f t="shared" si="0"/>
        <v>10650.603332462397</v>
      </c>
      <c r="F20" s="18">
        <f t="shared" si="0"/>
        <v>10796.42918210907</v>
      </c>
      <c r="G20" s="18">
        <f t="shared" si="0"/>
        <v>9846.7338340909373</v>
      </c>
      <c r="H20" s="18">
        <f t="shared" si="0"/>
        <v>10888.430703462602</v>
      </c>
      <c r="I20" s="18">
        <f t="shared" ref="I20:N20" si="1">+SUM(I17:I19)</f>
        <v>11870.881635013766</v>
      </c>
      <c r="J20" s="18">
        <f t="shared" si="1"/>
        <v>11841.407493399538</v>
      </c>
      <c r="K20" s="18">
        <f t="shared" si="1"/>
        <v>13585.463195441205</v>
      </c>
      <c r="L20" s="18">
        <f t="shared" si="1"/>
        <v>13256.089153913756</v>
      </c>
      <c r="M20" s="18">
        <f t="shared" si="1"/>
        <v>12936.040825078435</v>
      </c>
      <c r="N20" s="18">
        <f t="shared" si="1"/>
        <v>15451.120138930703</v>
      </c>
      <c r="O20" s="18">
        <f t="shared" ref="O20:U20" si="2">+SUM(O17:O19)</f>
        <v>15384.458209031485</v>
      </c>
      <c r="P20" s="18">
        <f t="shared" si="2"/>
        <v>16531.223329162734</v>
      </c>
      <c r="Q20" s="18">
        <f t="shared" si="2"/>
        <v>20234.609467061866</v>
      </c>
      <c r="R20" s="18">
        <f t="shared" si="2"/>
        <v>20163.213105081224</v>
      </c>
      <c r="S20" s="18">
        <f t="shared" si="2"/>
        <v>20878.900326032053</v>
      </c>
      <c r="T20" s="18">
        <f t="shared" si="2"/>
        <v>24668.920452543458</v>
      </c>
      <c r="U20" s="18">
        <f t="shared" si="2"/>
        <v>28056.560941278447</v>
      </c>
    </row>
    <row r="21" spans="1:21" ht="16.5" x14ac:dyDescent="0.2">
      <c r="A21" s="16" t="s">
        <v>96</v>
      </c>
      <c r="B21" s="15">
        <v>7.3854155510000004</v>
      </c>
      <c r="C21" s="15">
        <v>6.6268219689999999</v>
      </c>
      <c r="D21" s="15">
        <v>5.9536804619999995</v>
      </c>
      <c r="E21" s="15">
        <v>5.330759443999999</v>
      </c>
      <c r="F21" s="15">
        <v>0</v>
      </c>
      <c r="G21" s="15">
        <v>0</v>
      </c>
      <c r="H21" s="15">
        <v>0</v>
      </c>
      <c r="I21" s="15">
        <v>0</v>
      </c>
      <c r="J21" s="15">
        <v>1.3779141069999998</v>
      </c>
      <c r="K21" s="15">
        <v>1.3700824920000001</v>
      </c>
      <c r="L21" s="15">
        <v>1.3700824920000001</v>
      </c>
      <c r="M21" s="15">
        <v>1.41632538</v>
      </c>
      <c r="N21" s="15">
        <v>1.8885893099999997</v>
      </c>
      <c r="O21" s="15">
        <v>1.8993837509999998</v>
      </c>
      <c r="P21" s="15">
        <v>1.8683307989999998</v>
      </c>
      <c r="Q21" s="15">
        <v>1.8784677589999998</v>
      </c>
      <c r="R21" s="15">
        <v>1.424657461</v>
      </c>
      <c r="S21" s="15">
        <v>1.4148054939999999</v>
      </c>
      <c r="T21" s="15">
        <v>1.4042958159999999</v>
      </c>
      <c r="U21" s="15">
        <v>1.389894679</v>
      </c>
    </row>
    <row r="22" spans="1:21" ht="16.5" outlineLevel="1" x14ac:dyDescent="0.2">
      <c r="A22" s="20" t="s">
        <v>97</v>
      </c>
      <c r="B22" s="15">
        <v>20008.379995013853</v>
      </c>
      <c r="C22" s="15">
        <v>20942.317858317794</v>
      </c>
      <c r="D22" s="15">
        <v>22454.030815998645</v>
      </c>
      <c r="E22" s="15">
        <v>22960.51216535725</v>
      </c>
      <c r="F22" s="15">
        <v>23931.193167821919</v>
      </c>
      <c r="G22" s="15">
        <v>22591.1153757348</v>
      </c>
      <c r="H22" s="15">
        <v>21995.575606998089</v>
      </c>
      <c r="I22" s="15">
        <v>21955.720164813305</v>
      </c>
      <c r="J22" s="15">
        <v>22461.805478710587</v>
      </c>
      <c r="K22" s="15">
        <v>21275.017421418193</v>
      </c>
      <c r="L22" s="15">
        <v>22055.645365690478</v>
      </c>
      <c r="M22" s="15">
        <v>22932.333830295851</v>
      </c>
      <c r="N22" s="15">
        <v>23326.776447301614</v>
      </c>
      <c r="O22" s="15">
        <v>24978.562083372857</v>
      </c>
      <c r="P22" s="15">
        <v>25592.421704162545</v>
      </c>
      <c r="Q22" s="15">
        <v>24653.070421380864</v>
      </c>
      <c r="R22" s="15">
        <v>27050.197850511646</v>
      </c>
      <c r="S22" s="15">
        <v>28266.910500191509</v>
      </c>
      <c r="T22" s="21">
        <v>28968.58867247295</v>
      </c>
      <c r="U22" s="21">
        <v>31143.129525992743</v>
      </c>
    </row>
    <row r="23" spans="1:21" ht="16.5" outlineLevel="1" x14ac:dyDescent="0.2">
      <c r="A23" s="20" t="s">
        <v>98</v>
      </c>
      <c r="B23" s="15">
        <v>1497.7165269759223</v>
      </c>
      <c r="C23" s="15">
        <v>1520.1766253409201</v>
      </c>
      <c r="D23" s="15">
        <v>1451.4645190381348</v>
      </c>
      <c r="E23" s="15">
        <v>1547.5432813813306</v>
      </c>
      <c r="F23" s="15">
        <v>1393.8539621012496</v>
      </c>
      <c r="G23" s="15">
        <v>1373.7533217158789</v>
      </c>
      <c r="H23" s="15">
        <v>1112.9686986545366</v>
      </c>
      <c r="I23" s="15">
        <v>1034.3350693617999</v>
      </c>
      <c r="J23" s="15">
        <v>1476.7324609369819</v>
      </c>
      <c r="K23" s="15">
        <v>903.06032321324381</v>
      </c>
      <c r="L23" s="15">
        <v>1034.234726760807</v>
      </c>
      <c r="M23" s="15">
        <v>994.64629786349212</v>
      </c>
      <c r="N23" s="15">
        <v>1117.3488263521749</v>
      </c>
      <c r="O23" s="15">
        <v>1370.6011553117446</v>
      </c>
      <c r="P23" s="15">
        <v>1439.6033962789347</v>
      </c>
      <c r="Q23" s="15">
        <v>1436.9338676023146</v>
      </c>
      <c r="R23" s="15">
        <v>1421.3032813317645</v>
      </c>
      <c r="S23" s="15">
        <v>1652.5796769535343</v>
      </c>
      <c r="T23" s="15">
        <v>1777.1985507345064</v>
      </c>
      <c r="U23" s="15">
        <v>1558.9844352831408</v>
      </c>
    </row>
    <row r="24" spans="1:21" ht="16.5" x14ac:dyDescent="0.2">
      <c r="A24" s="16" t="s">
        <v>99</v>
      </c>
      <c r="B24" s="15">
        <f t="shared" ref="B24:H24" si="3">+SUM(B22:B23)</f>
        <v>21506.096521989773</v>
      </c>
      <c r="C24" s="15">
        <f t="shared" si="3"/>
        <v>22462.494483658713</v>
      </c>
      <c r="D24" s="15">
        <f t="shared" si="3"/>
        <v>23905.49533503678</v>
      </c>
      <c r="E24" s="15">
        <f t="shared" si="3"/>
        <v>24508.055446738581</v>
      </c>
      <c r="F24" s="15">
        <f t="shared" si="3"/>
        <v>25325.047129923169</v>
      </c>
      <c r="G24" s="15">
        <f t="shared" si="3"/>
        <v>23964.868697450678</v>
      </c>
      <c r="H24" s="15">
        <f t="shared" si="3"/>
        <v>23108.544305652627</v>
      </c>
      <c r="I24" s="15">
        <f t="shared" ref="I24:N24" si="4">+SUM(I22:I23)</f>
        <v>22990.055234175106</v>
      </c>
      <c r="J24" s="15">
        <f t="shared" si="4"/>
        <v>23938.537939647569</v>
      </c>
      <c r="K24" s="15">
        <f t="shared" si="4"/>
        <v>22178.077744631439</v>
      </c>
      <c r="L24" s="15">
        <f t="shared" si="4"/>
        <v>23089.880092451283</v>
      </c>
      <c r="M24" s="15">
        <f t="shared" si="4"/>
        <v>23926.980128159343</v>
      </c>
      <c r="N24" s="15">
        <f t="shared" si="4"/>
        <v>24444.12527365379</v>
      </c>
      <c r="O24" s="15">
        <f t="shared" ref="O24:U24" si="5">+SUM(O22:O23)</f>
        <v>26349.163238684603</v>
      </c>
      <c r="P24" s="15">
        <f t="shared" si="5"/>
        <v>27032.025100441479</v>
      </c>
      <c r="Q24" s="15">
        <f t="shared" si="5"/>
        <v>26090.004288983178</v>
      </c>
      <c r="R24" s="15">
        <f t="shared" si="5"/>
        <v>28471.501131843412</v>
      </c>
      <c r="S24" s="15">
        <f t="shared" si="5"/>
        <v>29919.490177145042</v>
      </c>
      <c r="T24" s="21">
        <f t="shared" si="5"/>
        <v>30745.787223207455</v>
      </c>
      <c r="U24" s="21">
        <f t="shared" si="5"/>
        <v>32702.113961275885</v>
      </c>
    </row>
    <row r="25" spans="1:21" ht="16.5" x14ac:dyDescent="0.2">
      <c r="A25" s="16" t="s">
        <v>86</v>
      </c>
      <c r="B25" s="15">
        <v>7206.7322090980724</v>
      </c>
      <c r="C25" s="15">
        <v>7439.8225011054365</v>
      </c>
      <c r="D25" s="15">
        <v>7744.2947357986732</v>
      </c>
      <c r="E25" s="15">
        <v>7582.6246126110273</v>
      </c>
      <c r="F25" s="15">
        <v>7819.5699069657076</v>
      </c>
      <c r="G25" s="15">
        <v>7585.4284844352032</v>
      </c>
      <c r="H25" s="15">
        <v>8581.9904361658118</v>
      </c>
      <c r="I25" s="15">
        <v>9184.9717607843031</v>
      </c>
      <c r="J25" s="15">
        <v>9734.5619741112441</v>
      </c>
      <c r="K25" s="15">
        <v>9789.6267621630177</v>
      </c>
      <c r="L25" s="15">
        <v>9738.381277934448</v>
      </c>
      <c r="M25" s="15">
        <v>9783.680292420433</v>
      </c>
      <c r="N25" s="15">
        <v>9979.6794232247921</v>
      </c>
      <c r="O25" s="15">
        <v>10208.982914712038</v>
      </c>
      <c r="P25" s="15">
        <v>10223.952446277341</v>
      </c>
      <c r="Q25" s="15">
        <v>10433.323287766532</v>
      </c>
      <c r="R25" s="15">
        <v>10689.691891537133</v>
      </c>
      <c r="S25" s="15">
        <v>10425.751379239808</v>
      </c>
      <c r="T25" s="21">
        <v>9450.1244932340596</v>
      </c>
      <c r="U25" s="21">
        <v>9307.4018728241972</v>
      </c>
    </row>
    <row r="26" spans="1:21" ht="16.5" x14ac:dyDescent="0.2">
      <c r="A26" s="17" t="s">
        <v>100</v>
      </c>
      <c r="B26" s="18">
        <f>SUM(B21,B24:B25)</f>
        <v>28720.214146638849</v>
      </c>
      <c r="C26" s="18">
        <f>SUM(C21,C24:C25)</f>
        <v>29908.94380673315</v>
      </c>
      <c r="D26" s="18">
        <f>SUM(D21,D24:D25)</f>
        <v>31655.743751297454</v>
      </c>
      <c r="E26" s="18">
        <f>SUM(E21,E24:E25)</f>
        <v>32096.010818793609</v>
      </c>
      <c r="F26" s="18">
        <f>SUM(F21,F24:F25)</f>
        <v>33144.617036888878</v>
      </c>
      <c r="G26" s="18">
        <f>SUM(G21,G24:G25)</f>
        <v>31550.297181885882</v>
      </c>
      <c r="H26" s="18">
        <f>SUM(H21,H24:H25)</f>
        <v>31690.534741818439</v>
      </c>
      <c r="I26" s="18">
        <f>SUM(I21,I24:I25)</f>
        <v>32175.026994959408</v>
      </c>
      <c r="J26" s="18">
        <f>SUM(J21,J24:J25)</f>
        <v>33674.477827865812</v>
      </c>
      <c r="K26" s="18">
        <f>SUM(K21,K24:K25)</f>
        <v>31969.074589286458</v>
      </c>
      <c r="L26" s="18">
        <f>SUM(L21,L24:L25)</f>
        <v>32829.631452877729</v>
      </c>
      <c r="M26" s="18">
        <f>SUM(M21,M24:M25)</f>
        <v>33712.076745959777</v>
      </c>
      <c r="N26" s="18">
        <f>SUM(N21,N24:N25)</f>
        <v>34425.693286188587</v>
      </c>
      <c r="O26" s="18">
        <f>SUM(O21,O24:O25)</f>
        <v>36560.045537147642</v>
      </c>
      <c r="P26" s="18">
        <f>SUM(P21,P24:P25)</f>
        <v>37257.845877517815</v>
      </c>
      <c r="Q26" s="18">
        <f>SUM(Q21,Q24:Q25)</f>
        <v>36525.206044508712</v>
      </c>
      <c r="R26" s="18">
        <f>SUM(R21,R24:R25)</f>
        <v>39162.617680841548</v>
      </c>
      <c r="S26" s="18">
        <f>SUM(S21,S24:S25)</f>
        <v>40346.65636187885</v>
      </c>
      <c r="T26" s="18">
        <f>SUM(T21,T24:T25)</f>
        <v>40197.316012257514</v>
      </c>
      <c r="U26" s="18">
        <f>SUM(U21,U24:U25)</f>
        <v>42010.905728779078</v>
      </c>
    </row>
    <row r="27" spans="1:21" ht="16.5" x14ac:dyDescent="0.2">
      <c r="A27" s="10" t="s">
        <v>101</v>
      </c>
      <c r="B27" s="18">
        <v>156.22032226207997</v>
      </c>
      <c r="C27" s="18">
        <v>29.52992273736</v>
      </c>
      <c r="D27" s="18">
        <v>39.736669408589997</v>
      </c>
      <c r="E27" s="18">
        <v>40.522071453999999</v>
      </c>
      <c r="F27" s="18">
        <v>44.248065376</v>
      </c>
      <c r="G27" s="18">
        <v>53.783219464999995</v>
      </c>
      <c r="H27" s="18">
        <v>49.080148285189999</v>
      </c>
      <c r="I27" s="18">
        <v>56.557704449040003</v>
      </c>
      <c r="J27" s="18">
        <v>20.854313498437996</v>
      </c>
      <c r="K27" s="18">
        <v>35.107829307640003</v>
      </c>
      <c r="L27" s="18">
        <v>69.426685845599806</v>
      </c>
      <c r="M27" s="18">
        <v>33.955080933180795</v>
      </c>
      <c r="N27" s="18">
        <v>48.662033836900001</v>
      </c>
      <c r="O27" s="18">
        <v>58.930483043999999</v>
      </c>
      <c r="P27" s="18">
        <v>61.565500365319998</v>
      </c>
      <c r="Q27" s="18">
        <v>71.845756199009998</v>
      </c>
      <c r="R27" s="18">
        <v>54.019405407799994</v>
      </c>
      <c r="S27" s="18">
        <v>39.868018144859995</v>
      </c>
      <c r="T27" s="18">
        <v>40.010968832490001</v>
      </c>
      <c r="U27" s="18">
        <v>36.649659399999997</v>
      </c>
    </row>
    <row r="28" spans="1:21" ht="5.25" customHeight="1" x14ac:dyDescent="0.2">
      <c r="A28" s="17"/>
      <c r="B28" s="23"/>
      <c r="C28" s="23"/>
      <c r="D28" s="23"/>
      <c r="E28" s="23"/>
      <c r="F28" s="23"/>
      <c r="G28" s="23"/>
      <c r="H28" s="23"/>
      <c r="I28" s="23"/>
      <c r="J28" s="23"/>
      <c r="K28" s="23"/>
      <c r="L28" s="23"/>
      <c r="M28" s="23"/>
      <c r="N28" s="23"/>
      <c r="O28" s="23"/>
      <c r="P28" s="23"/>
      <c r="Q28" s="23"/>
      <c r="R28" s="23"/>
      <c r="S28" s="23"/>
      <c r="T28" s="23"/>
      <c r="U28" s="23"/>
    </row>
    <row r="29" spans="1:21" ht="16.5" x14ac:dyDescent="0.2">
      <c r="A29" s="17" t="s">
        <v>102</v>
      </c>
      <c r="B29" s="18"/>
      <c r="C29" s="18"/>
      <c r="D29" s="18"/>
      <c r="E29" s="18"/>
      <c r="F29" s="18"/>
      <c r="G29" s="18"/>
      <c r="H29" s="18"/>
      <c r="I29" s="18"/>
      <c r="J29" s="18"/>
      <c r="K29" s="18"/>
      <c r="L29" s="18"/>
      <c r="M29" s="18"/>
      <c r="N29" s="18"/>
      <c r="O29" s="18"/>
      <c r="P29" s="18"/>
      <c r="Q29" s="18"/>
      <c r="R29" s="18"/>
      <c r="S29" s="18"/>
      <c r="T29" s="18"/>
      <c r="U29" s="18"/>
    </row>
    <row r="30" spans="1:21" ht="16.5" x14ac:dyDescent="0.2">
      <c r="A30" s="24" t="s">
        <v>103</v>
      </c>
      <c r="B30" s="14">
        <f t="shared" ref="B30:U30" si="6">+B31+B32</f>
        <v>87346.586742600761</v>
      </c>
      <c r="C30" s="14">
        <f t="shared" si="6"/>
        <v>87112.707409921568</v>
      </c>
      <c r="D30" s="14">
        <f t="shared" si="6"/>
        <v>87978.729151512642</v>
      </c>
      <c r="E30" s="14">
        <f t="shared" si="6"/>
        <v>88729.203219128074</v>
      </c>
      <c r="F30" s="14">
        <f t="shared" si="6"/>
        <v>90367.335494448227</v>
      </c>
      <c r="G30" s="14">
        <f t="shared" si="6"/>
        <v>95591.444285601203</v>
      </c>
      <c r="H30" s="14">
        <f t="shared" si="6"/>
        <v>97950.180519322967</v>
      </c>
      <c r="I30" s="14">
        <f t="shared" si="6"/>
        <v>102475.035636509</v>
      </c>
      <c r="J30" s="14">
        <f t="shared" si="6"/>
        <v>110742.84174054622</v>
      </c>
      <c r="K30" s="14">
        <f t="shared" si="6"/>
        <v>110049.84548091145</v>
      </c>
      <c r="L30" s="14">
        <f t="shared" si="6"/>
        <v>109288.8869558673</v>
      </c>
      <c r="M30" s="14">
        <f t="shared" si="6"/>
        <v>109270.38801946989</v>
      </c>
      <c r="N30" s="14">
        <f t="shared" si="6"/>
        <v>107440.42397021083</v>
      </c>
      <c r="O30" s="14">
        <f t="shared" si="6"/>
        <v>109840.6029171144</v>
      </c>
      <c r="P30" s="14">
        <f t="shared" si="6"/>
        <v>114078.32645019186</v>
      </c>
      <c r="Q30" s="14">
        <f t="shared" si="6"/>
        <v>113251.27292520019</v>
      </c>
      <c r="R30" s="14">
        <f t="shared" si="6"/>
        <v>116119.69831126116</v>
      </c>
      <c r="S30" s="14">
        <f t="shared" si="6"/>
        <v>114107.37480279655</v>
      </c>
      <c r="T30" s="25">
        <f t="shared" si="6"/>
        <v>114612.91217712933</v>
      </c>
      <c r="U30" s="25">
        <f t="shared" si="6"/>
        <v>116758.77831679204</v>
      </c>
    </row>
    <row r="31" spans="1:21" ht="16.5" x14ac:dyDescent="0.2">
      <c r="A31" s="26" t="s">
        <v>103</v>
      </c>
      <c r="B31" s="25">
        <v>84701.139948218392</v>
      </c>
      <c r="C31" s="25">
        <v>85924.526128055571</v>
      </c>
      <c r="D31" s="14">
        <v>86430.762078939966</v>
      </c>
      <c r="E31" s="14">
        <v>86886.087727736012</v>
      </c>
      <c r="F31" s="14">
        <v>88591.080878477907</v>
      </c>
      <c r="G31" s="14">
        <v>91006.717594932255</v>
      </c>
      <c r="H31" s="14">
        <v>95946.038891247445</v>
      </c>
      <c r="I31" s="14">
        <v>100233.41468937248</v>
      </c>
      <c r="J31" s="14">
        <v>104775.09869539732</v>
      </c>
      <c r="K31" s="14">
        <v>106129.87032489764</v>
      </c>
      <c r="L31" s="14">
        <v>106350.77016145273</v>
      </c>
      <c r="M31" s="14">
        <v>107459.92332761435</v>
      </c>
      <c r="N31" s="14">
        <v>107047.81651296307</v>
      </c>
      <c r="O31" s="14">
        <v>109461.43276449402</v>
      </c>
      <c r="P31" s="14">
        <v>112647.47594447664</v>
      </c>
      <c r="Q31" s="14">
        <v>112798.26934308874</v>
      </c>
      <c r="R31" s="14">
        <v>115414.64360756248</v>
      </c>
      <c r="S31" s="14">
        <v>113381.22982267672</v>
      </c>
      <c r="T31" s="14">
        <v>113011.79221189974</v>
      </c>
      <c r="U31" s="14">
        <v>115328.60224029688</v>
      </c>
    </row>
    <row r="32" spans="1:21" ht="16.5" x14ac:dyDescent="0.2">
      <c r="A32" s="26" t="s">
        <v>104</v>
      </c>
      <c r="B32" s="14">
        <v>2645.4467943823752</v>
      </c>
      <c r="C32" s="25">
        <v>1188.1812818660005</v>
      </c>
      <c r="D32" s="14">
        <v>1547.9670725726828</v>
      </c>
      <c r="E32" s="14">
        <v>1843.115491392068</v>
      </c>
      <c r="F32" s="14">
        <v>1776.2546159703213</v>
      </c>
      <c r="G32" s="14">
        <v>4584.7266906689474</v>
      </c>
      <c r="H32" s="14">
        <v>2004.141628075527</v>
      </c>
      <c r="I32" s="14">
        <v>2241.6209471365087</v>
      </c>
      <c r="J32" s="14">
        <v>5967.7430451489017</v>
      </c>
      <c r="K32" s="14">
        <v>3919.9751560138166</v>
      </c>
      <c r="L32" s="14">
        <v>2938.1167944145736</v>
      </c>
      <c r="M32" s="14">
        <v>1810.4646918555407</v>
      </c>
      <c r="N32" s="14">
        <v>392.60745724777263</v>
      </c>
      <c r="O32" s="14">
        <v>379.17015262037904</v>
      </c>
      <c r="P32" s="14">
        <v>1430.8505057152211</v>
      </c>
      <c r="Q32" s="14">
        <v>453.00358211144402</v>
      </c>
      <c r="R32" s="14">
        <v>705.05470369868203</v>
      </c>
      <c r="S32" s="14">
        <v>726.14498011983312</v>
      </c>
      <c r="T32" s="25">
        <v>1601.1199652295927</v>
      </c>
      <c r="U32" s="25">
        <v>1430.1760764951566</v>
      </c>
    </row>
    <row r="33" spans="1:21" ht="16.5" x14ac:dyDescent="0.2">
      <c r="A33" s="24" t="s">
        <v>105</v>
      </c>
      <c r="B33" s="25">
        <v>45181.57432077291</v>
      </c>
      <c r="C33" s="25">
        <v>46596.484411311532</v>
      </c>
      <c r="D33" s="14">
        <v>47490.120525020495</v>
      </c>
      <c r="E33" s="14">
        <v>49119.231300131396</v>
      </c>
      <c r="F33" s="14">
        <v>50765.314906684478</v>
      </c>
      <c r="G33" s="14">
        <v>51984.268389358782</v>
      </c>
      <c r="H33" s="14">
        <v>54481.189369975022</v>
      </c>
      <c r="I33" s="14">
        <v>57629.222109786737</v>
      </c>
      <c r="J33" s="14">
        <v>59419.443850333235</v>
      </c>
      <c r="K33" s="14">
        <v>60186.86491421266</v>
      </c>
      <c r="L33" s="14">
        <v>60033.798843894023</v>
      </c>
      <c r="M33" s="14">
        <v>60631.510564533783</v>
      </c>
      <c r="N33" s="14">
        <v>59999.610700096106</v>
      </c>
      <c r="O33" s="14">
        <v>60049.70231427432</v>
      </c>
      <c r="P33" s="14">
        <v>60561.682140523983</v>
      </c>
      <c r="Q33" s="14">
        <v>61133.130222687738</v>
      </c>
      <c r="R33" s="14">
        <v>61976.324553328988</v>
      </c>
      <c r="S33" s="14">
        <v>62408.982396034946</v>
      </c>
      <c r="T33" s="25">
        <v>62725.124715873113</v>
      </c>
      <c r="U33" s="25">
        <v>63668.296768961525</v>
      </c>
    </row>
    <row r="34" spans="1:21" ht="16.5" x14ac:dyDescent="0.2">
      <c r="A34" s="24" t="s">
        <v>106</v>
      </c>
      <c r="B34" s="25">
        <v>12572.827487428736</v>
      </c>
      <c r="C34" s="25">
        <v>13039.156658029951</v>
      </c>
      <c r="D34" s="14">
        <v>13454.773860617974</v>
      </c>
      <c r="E34" s="14">
        <v>13970.87043645399</v>
      </c>
      <c r="F34" s="14">
        <v>14681.452682447756</v>
      </c>
      <c r="G34" s="14">
        <v>15010.32853983263</v>
      </c>
      <c r="H34" s="14">
        <v>15883.596824000653</v>
      </c>
      <c r="I34" s="14">
        <v>16966.62226473089</v>
      </c>
      <c r="J34" s="14">
        <v>17883.354759664624</v>
      </c>
      <c r="K34" s="14">
        <v>18026.095405905933</v>
      </c>
      <c r="L34" s="14">
        <v>17756.534238547731</v>
      </c>
      <c r="M34" s="14">
        <v>18116.622666514322</v>
      </c>
      <c r="N34" s="14">
        <v>18486.205819573523</v>
      </c>
      <c r="O34" s="14">
        <v>18852.955803759443</v>
      </c>
      <c r="P34" s="14">
        <v>19666.343908426534</v>
      </c>
      <c r="Q34" s="14">
        <v>20604.04930874033</v>
      </c>
      <c r="R34" s="14">
        <v>22035.726724973381</v>
      </c>
      <c r="S34" s="14">
        <v>22965.941879378024</v>
      </c>
      <c r="T34" s="25">
        <v>23618.64435486927</v>
      </c>
      <c r="U34" s="25">
        <v>24446.670416365287</v>
      </c>
    </row>
    <row r="35" spans="1:21" ht="16.5" x14ac:dyDescent="0.2">
      <c r="A35" s="24" t="s">
        <v>107</v>
      </c>
      <c r="B35" s="25">
        <v>372.32136434728005</v>
      </c>
      <c r="C35" s="25">
        <v>358.77158073889996</v>
      </c>
      <c r="D35" s="14">
        <v>337.01374199054999</v>
      </c>
      <c r="E35" s="14">
        <v>327.99336015914997</v>
      </c>
      <c r="F35" s="14">
        <v>317.73906105014999</v>
      </c>
      <c r="G35" s="14">
        <v>292.61091654115</v>
      </c>
      <c r="H35" s="14">
        <v>278.63839112300002</v>
      </c>
      <c r="I35" s="14">
        <v>264.77891870799999</v>
      </c>
      <c r="J35" s="14">
        <v>267.72006059999995</v>
      </c>
      <c r="K35" s="14">
        <v>267.619415463</v>
      </c>
      <c r="L35" s="14">
        <v>268.48508362399997</v>
      </c>
      <c r="M35" s="14">
        <v>272.31488948199996</v>
      </c>
      <c r="N35" s="14">
        <v>277.52884378299996</v>
      </c>
      <c r="O35" s="14">
        <v>284.850529354</v>
      </c>
      <c r="P35" s="14">
        <v>295.61906121999999</v>
      </c>
      <c r="Q35" s="14">
        <v>4.9600594629999994</v>
      </c>
      <c r="R35" s="14">
        <v>4.37522638</v>
      </c>
      <c r="S35" s="14">
        <v>4.1790253560000004</v>
      </c>
      <c r="T35" s="14">
        <v>1.5338057030000001</v>
      </c>
      <c r="U35" s="14">
        <v>1.599997884</v>
      </c>
    </row>
    <row r="36" spans="1:21" ht="16.5" x14ac:dyDescent="0.2">
      <c r="A36" s="17" t="s">
        <v>108</v>
      </c>
      <c r="B36" s="18">
        <f t="shared" ref="B36:U36" si="7">+SUM(B33:B35,B30)</f>
        <v>145473.3099151497</v>
      </c>
      <c r="C36" s="18">
        <f t="shared" si="7"/>
        <v>147107.12006000197</v>
      </c>
      <c r="D36" s="18">
        <f t="shared" si="7"/>
        <v>149260.63727914167</v>
      </c>
      <c r="E36" s="18">
        <f t="shared" si="7"/>
        <v>152147.29831587261</v>
      </c>
      <c r="F36" s="18">
        <f t="shared" si="7"/>
        <v>156131.84214463062</v>
      </c>
      <c r="G36" s="18">
        <f t="shared" si="7"/>
        <v>162878.65213133377</v>
      </c>
      <c r="H36" s="18">
        <f t="shared" si="7"/>
        <v>168593.60510442161</v>
      </c>
      <c r="I36" s="18">
        <f t="shared" si="7"/>
        <v>177335.65892973461</v>
      </c>
      <c r="J36" s="18">
        <f t="shared" si="7"/>
        <v>188313.36041114409</v>
      </c>
      <c r="K36" s="18">
        <f t="shared" si="7"/>
        <v>188530.42521649305</v>
      </c>
      <c r="L36" s="18">
        <f t="shared" si="7"/>
        <v>187347.70512193305</v>
      </c>
      <c r="M36" s="18">
        <f t="shared" si="7"/>
        <v>188290.83614</v>
      </c>
      <c r="N36" s="18">
        <f t="shared" si="7"/>
        <v>186203.76933366345</v>
      </c>
      <c r="O36" s="18">
        <f t="shared" si="7"/>
        <v>189028.11156450218</v>
      </c>
      <c r="P36" s="18">
        <f t="shared" si="7"/>
        <v>194601.97156036238</v>
      </c>
      <c r="Q36" s="18">
        <f t="shared" si="7"/>
        <v>194993.41251609125</v>
      </c>
      <c r="R36" s="18">
        <f t="shared" si="7"/>
        <v>200136.12481594353</v>
      </c>
      <c r="S36" s="18">
        <f t="shared" si="7"/>
        <v>199486.47810356552</v>
      </c>
      <c r="T36" s="18">
        <f t="shared" si="7"/>
        <v>200958.21505357471</v>
      </c>
      <c r="U36" s="18">
        <f t="shared" si="7"/>
        <v>204875.34550000285</v>
      </c>
    </row>
    <row r="37" spans="1:21" ht="16.5" x14ac:dyDescent="0.2">
      <c r="A37" s="19" t="s">
        <v>109</v>
      </c>
      <c r="B37" s="14">
        <v>-8627.4020461022228</v>
      </c>
      <c r="C37" s="25">
        <v>-8626.2343177621387</v>
      </c>
      <c r="D37" s="14">
        <v>-8828.909897017511</v>
      </c>
      <c r="E37" s="14">
        <v>-8636.8045877256864</v>
      </c>
      <c r="F37" s="14">
        <v>-8699.4026410747774</v>
      </c>
      <c r="G37" s="14">
        <v>-8824.195520049474</v>
      </c>
      <c r="H37" s="14">
        <v>-8941.6751167171751</v>
      </c>
      <c r="I37" s="14">
        <v>-8992.0266362276416</v>
      </c>
      <c r="J37" s="14">
        <v>-9197.5129102163846</v>
      </c>
      <c r="K37" s="14">
        <v>-9427.5232009474676</v>
      </c>
      <c r="L37" s="14">
        <v>-9435.157686867864</v>
      </c>
      <c r="M37" s="14">
        <v>-9843.1105783653966</v>
      </c>
      <c r="N37" s="14">
        <v>-10035.714826295185</v>
      </c>
      <c r="O37" s="14">
        <v>-10557.155290225144</v>
      </c>
      <c r="P37" s="14">
        <v>-10583.870060144895</v>
      </c>
      <c r="Q37" s="14">
        <v>-10438.832061417253</v>
      </c>
      <c r="R37" s="14">
        <v>-10006.638914027926</v>
      </c>
      <c r="S37" s="14">
        <v>-9559.257015080264</v>
      </c>
      <c r="T37" s="14">
        <v>-9152.6987740529767</v>
      </c>
      <c r="U37" s="25">
        <v>-9006.3482774167223</v>
      </c>
    </row>
    <row r="38" spans="1:21" ht="16.5" x14ac:dyDescent="0.2">
      <c r="A38" s="27" t="s">
        <v>110</v>
      </c>
      <c r="B38" s="28">
        <f t="shared" ref="B38:U38" si="8">+B36+B37</f>
        <v>136845.90786904749</v>
      </c>
      <c r="C38" s="28">
        <f t="shared" si="8"/>
        <v>138480.88574223983</v>
      </c>
      <c r="D38" s="28">
        <f t="shared" si="8"/>
        <v>140431.72738212417</v>
      </c>
      <c r="E38" s="28">
        <f t="shared" si="8"/>
        <v>143510.49372814692</v>
      </c>
      <c r="F38" s="28">
        <f t="shared" si="8"/>
        <v>147432.43950355583</v>
      </c>
      <c r="G38" s="28">
        <f t="shared" si="8"/>
        <v>154054.45661128429</v>
      </c>
      <c r="H38" s="28">
        <f t="shared" si="8"/>
        <v>159651.92998770444</v>
      </c>
      <c r="I38" s="28">
        <f t="shared" si="8"/>
        <v>168343.63229350696</v>
      </c>
      <c r="J38" s="28">
        <f t="shared" si="8"/>
        <v>179115.84750092772</v>
      </c>
      <c r="K38" s="28">
        <f t="shared" si="8"/>
        <v>179102.90201554558</v>
      </c>
      <c r="L38" s="28">
        <f t="shared" si="8"/>
        <v>177912.54743506518</v>
      </c>
      <c r="M38" s="28">
        <f t="shared" si="8"/>
        <v>178447.72556163461</v>
      </c>
      <c r="N38" s="28">
        <f t="shared" si="8"/>
        <v>176168.05450736827</v>
      </c>
      <c r="O38" s="28">
        <f t="shared" si="8"/>
        <v>178470.95627427704</v>
      </c>
      <c r="P38" s="28">
        <f t="shared" si="8"/>
        <v>184018.10150021748</v>
      </c>
      <c r="Q38" s="28">
        <f t="shared" si="8"/>
        <v>184554.580454674</v>
      </c>
      <c r="R38" s="28">
        <f t="shared" si="8"/>
        <v>190129.48590191561</v>
      </c>
      <c r="S38" s="28">
        <f t="shared" si="8"/>
        <v>189927.22108848527</v>
      </c>
      <c r="T38" s="28">
        <f t="shared" si="8"/>
        <v>191805.51627952172</v>
      </c>
      <c r="U38" s="28">
        <f t="shared" si="8"/>
        <v>195868.99722258613</v>
      </c>
    </row>
    <row r="39" spans="1:21" ht="5.25" customHeight="1" x14ac:dyDescent="0.2">
      <c r="A39" s="17"/>
      <c r="B39" s="29"/>
      <c r="C39" s="29"/>
      <c r="D39" s="29"/>
      <c r="E39" s="29"/>
      <c r="F39" s="29"/>
      <c r="G39" s="29"/>
      <c r="H39" s="29"/>
      <c r="I39" s="29"/>
      <c r="J39" s="29"/>
      <c r="K39" s="29"/>
      <c r="L39" s="29"/>
      <c r="M39" s="29"/>
      <c r="N39" s="29"/>
      <c r="O39" s="29"/>
      <c r="P39" s="29"/>
      <c r="Q39" s="29"/>
      <c r="R39" s="29"/>
      <c r="S39" s="29"/>
      <c r="T39" s="29"/>
      <c r="U39" s="29"/>
    </row>
    <row r="40" spans="1:21" ht="16.5" outlineLevel="1" x14ac:dyDescent="0.2">
      <c r="A40" s="19" t="s">
        <v>111</v>
      </c>
      <c r="B40" s="21">
        <v>2964.7395568239499</v>
      </c>
      <c r="C40" s="21">
        <v>3040.0246789509997</v>
      </c>
      <c r="D40" s="21">
        <v>3102.8430431320003</v>
      </c>
      <c r="E40" s="21">
        <v>3165.6614073129999</v>
      </c>
      <c r="F40" s="21">
        <v>3228.4797714939991</v>
      </c>
      <c r="G40" s="21">
        <v>3302.3880218499999</v>
      </c>
      <c r="H40" s="21">
        <v>3370.8171489919996</v>
      </c>
      <c r="I40" s="21">
        <v>3439.0241783061801</v>
      </c>
      <c r="J40" s="21">
        <v>3507.2312076222001</v>
      </c>
      <c r="K40" s="21">
        <v>3601.1802772709998</v>
      </c>
      <c r="L40" s="21">
        <v>3677.7589787134598</v>
      </c>
      <c r="M40" s="21">
        <v>3754.3376801547993</v>
      </c>
      <c r="N40" s="21">
        <v>3830.9163815940001</v>
      </c>
      <c r="O40" s="21">
        <v>3935.4008632618998</v>
      </c>
      <c r="P40" s="21">
        <v>4017.5456896945198</v>
      </c>
      <c r="Q40" s="21">
        <v>4099.6905161282002</v>
      </c>
      <c r="R40" s="21">
        <v>4181.8353425557998</v>
      </c>
      <c r="S40" s="21">
        <v>4278.5375949069994</v>
      </c>
      <c r="T40" s="21">
        <v>4367.8807923820004</v>
      </c>
      <c r="U40" s="21">
        <v>4457.2239898565995</v>
      </c>
    </row>
    <row r="41" spans="1:21" ht="16.5" outlineLevel="1" x14ac:dyDescent="0.2">
      <c r="A41" s="30" t="s">
        <v>112</v>
      </c>
      <c r="B41" s="21">
        <v>11188.257860605601</v>
      </c>
      <c r="C41" s="21">
        <v>12339.993279369737</v>
      </c>
      <c r="D41" s="21">
        <v>12900.995114726808</v>
      </c>
      <c r="E41" s="21">
        <v>16205.770641216874</v>
      </c>
      <c r="F41" s="21">
        <v>15848.547262495202</v>
      </c>
      <c r="G41" s="21">
        <v>16284.975102622466</v>
      </c>
      <c r="H41" s="21">
        <v>17428.204705468423</v>
      </c>
      <c r="I41" s="21">
        <v>18703.461831178993</v>
      </c>
      <c r="J41" s="21">
        <v>19873.341330057494</v>
      </c>
      <c r="K41" s="21">
        <v>20783.312748640288</v>
      </c>
      <c r="L41" s="21">
        <v>20522.566964515605</v>
      </c>
      <c r="M41" s="21">
        <v>20814.389432328247</v>
      </c>
      <c r="N41" s="21">
        <v>21786.309269066998</v>
      </c>
      <c r="O41" s="21">
        <v>22507.019995752082</v>
      </c>
      <c r="P41" s="21">
        <v>22808.636374988091</v>
      </c>
      <c r="Q41" s="21">
        <v>23679.308174864971</v>
      </c>
      <c r="R41" s="21">
        <v>23776.566600746959</v>
      </c>
      <c r="S41" s="21">
        <v>22464.969683429787</v>
      </c>
      <c r="T41" s="21">
        <v>22969.724931259443</v>
      </c>
      <c r="U41" s="21">
        <v>22263.546811486944</v>
      </c>
    </row>
    <row r="42" spans="1:21" ht="16.5" x14ac:dyDescent="0.2">
      <c r="A42" s="10" t="s">
        <v>113</v>
      </c>
      <c r="B42" s="18">
        <f t="shared" ref="B42:H42" si="9">SUM(B40:B41)</f>
        <v>14152.997417429551</v>
      </c>
      <c r="C42" s="18">
        <f t="shared" si="9"/>
        <v>15380.017958320737</v>
      </c>
      <c r="D42" s="18">
        <f t="shared" si="9"/>
        <v>16003.838157858809</v>
      </c>
      <c r="E42" s="18">
        <f t="shared" si="9"/>
        <v>19371.432048529874</v>
      </c>
      <c r="F42" s="18">
        <f t="shared" si="9"/>
        <v>19077.027033989201</v>
      </c>
      <c r="G42" s="18">
        <f t="shared" si="9"/>
        <v>19587.363124472467</v>
      </c>
      <c r="H42" s="18">
        <f t="shared" si="9"/>
        <v>20799.021854460421</v>
      </c>
      <c r="I42" s="18">
        <f t="shared" ref="I42:U42" si="10">SUM(I40:I41)</f>
        <v>22142.486009485172</v>
      </c>
      <c r="J42" s="18">
        <f t="shared" si="10"/>
        <v>23380.572537679695</v>
      </c>
      <c r="K42" s="18">
        <f t="shared" si="10"/>
        <v>24384.493025911288</v>
      </c>
      <c r="L42" s="18">
        <f t="shared" si="10"/>
        <v>24200.325943229065</v>
      </c>
      <c r="M42" s="18">
        <f t="shared" si="10"/>
        <v>24568.727112483048</v>
      </c>
      <c r="N42" s="18">
        <f t="shared" si="10"/>
        <v>25617.225650660999</v>
      </c>
      <c r="O42" s="18">
        <f t="shared" si="10"/>
        <v>26442.420859013982</v>
      </c>
      <c r="P42" s="18">
        <f t="shared" si="10"/>
        <v>26826.182064682609</v>
      </c>
      <c r="Q42" s="18">
        <f t="shared" si="10"/>
        <v>27778.998690993172</v>
      </c>
      <c r="R42" s="18">
        <f t="shared" si="10"/>
        <v>27958.401943302757</v>
      </c>
      <c r="S42" s="18">
        <f t="shared" si="10"/>
        <v>26743.507278336787</v>
      </c>
      <c r="T42" s="18">
        <f t="shared" si="10"/>
        <v>27337.605723641442</v>
      </c>
      <c r="U42" s="18">
        <f t="shared" si="10"/>
        <v>26720.770801343544</v>
      </c>
    </row>
    <row r="43" spans="1:21" ht="16.5" x14ac:dyDescent="0.2">
      <c r="A43" s="10" t="s">
        <v>114</v>
      </c>
      <c r="B43" s="18">
        <v>215.37652874822308</v>
      </c>
      <c r="C43" s="18">
        <v>228.05703737437071</v>
      </c>
      <c r="D43" s="18">
        <v>95.847623757357127</v>
      </c>
      <c r="E43" s="18">
        <v>113.03649227394952</v>
      </c>
      <c r="F43" s="18">
        <v>144.60659451348002</v>
      </c>
      <c r="G43" s="18">
        <v>147.24997597967968</v>
      </c>
      <c r="H43" s="18">
        <v>144.86335260774993</v>
      </c>
      <c r="I43" s="18">
        <v>137.62912595049264</v>
      </c>
      <c r="J43" s="18">
        <v>92.830403648647987</v>
      </c>
      <c r="K43" s="18">
        <v>100.13320624423656</v>
      </c>
      <c r="L43" s="18">
        <v>117.54367580467233</v>
      </c>
      <c r="M43" s="18">
        <v>94.205170555610806</v>
      </c>
      <c r="N43" s="18">
        <v>101.18417847803248</v>
      </c>
      <c r="O43" s="18">
        <v>103.09994552861299</v>
      </c>
      <c r="P43" s="18">
        <v>92.351677051766387</v>
      </c>
      <c r="Q43" s="18">
        <v>87.106776079046</v>
      </c>
      <c r="R43" s="18">
        <v>105.21376019647047</v>
      </c>
      <c r="S43" s="18">
        <v>95.38347704231407</v>
      </c>
      <c r="T43" s="18">
        <v>67.485142463853279</v>
      </c>
      <c r="U43" s="18">
        <v>88.170745621035024</v>
      </c>
    </row>
    <row r="44" spans="1:21" ht="16.5" x14ac:dyDescent="0.2">
      <c r="A44" s="10" t="s">
        <v>115</v>
      </c>
      <c r="B44" s="18">
        <v>1028.8024299486051</v>
      </c>
      <c r="C44" s="18">
        <v>969.20235345305935</v>
      </c>
      <c r="D44" s="18">
        <v>1056.5110823064826</v>
      </c>
      <c r="E44" s="18">
        <v>1076.9709025293043</v>
      </c>
      <c r="F44" s="18">
        <v>1172.8286321424623</v>
      </c>
      <c r="G44" s="18">
        <v>4356.8944198506642</v>
      </c>
      <c r="H44" s="18">
        <v>4882.0006678129921</v>
      </c>
      <c r="I44" s="18">
        <v>5493.7335615228949</v>
      </c>
      <c r="J44" s="18">
        <v>1423.342656809664</v>
      </c>
      <c r="K44" s="18">
        <v>1191.3743742880235</v>
      </c>
      <c r="L44" s="18">
        <v>1211.4003157693007</v>
      </c>
      <c r="M44" s="18">
        <v>1250.6239168911015</v>
      </c>
      <c r="N44" s="18">
        <v>1290.683271059575</v>
      </c>
      <c r="O44" s="18">
        <v>1123.9111102962772</v>
      </c>
      <c r="P44" s="18">
        <v>1242.5190602948985</v>
      </c>
      <c r="Q44" s="18">
        <v>1280.4690267594042</v>
      </c>
      <c r="R44" s="18">
        <v>1430.5960870887304</v>
      </c>
      <c r="S44" s="18">
        <v>1194.8916203784102</v>
      </c>
      <c r="T44" s="18">
        <v>1262.7493431299804</v>
      </c>
      <c r="U44" s="18">
        <v>1273.0830940460262</v>
      </c>
    </row>
    <row r="45" spans="1:21" ht="5.25" customHeight="1" x14ac:dyDescent="0.2">
      <c r="A45" s="10"/>
      <c r="B45" s="31"/>
      <c r="C45" s="31"/>
      <c r="D45" s="31"/>
      <c r="E45" s="31"/>
      <c r="F45" s="31"/>
      <c r="G45" s="31"/>
      <c r="H45" s="31"/>
      <c r="I45" s="31"/>
      <c r="J45" s="31"/>
      <c r="K45" s="31"/>
      <c r="L45" s="31"/>
      <c r="M45" s="31"/>
      <c r="N45" s="31"/>
      <c r="O45" s="31"/>
      <c r="P45" s="31"/>
      <c r="Q45" s="31"/>
      <c r="R45" s="31"/>
      <c r="S45" s="31"/>
      <c r="T45" s="31"/>
      <c r="U45" s="31"/>
    </row>
    <row r="46" spans="1:21" ht="16.5" x14ac:dyDescent="0.2">
      <c r="A46" s="16" t="s">
        <v>116</v>
      </c>
      <c r="B46" s="14">
        <v>4742.2197930813427</v>
      </c>
      <c r="C46" s="14">
        <v>4710.2229487235263</v>
      </c>
      <c r="D46" s="14">
        <v>4644.3206330267394</v>
      </c>
      <c r="E46" s="14">
        <v>4650.9519755806514</v>
      </c>
      <c r="F46" s="14">
        <v>4706.6372374154053</v>
      </c>
      <c r="G46" s="14">
        <v>4593.0459276089969</v>
      </c>
      <c r="H46" s="14">
        <v>4615.9323347575764</v>
      </c>
      <c r="I46" s="14">
        <v>4708.2036971925518</v>
      </c>
      <c r="J46" s="14">
        <v>4730.2417666018337</v>
      </c>
      <c r="K46" s="14">
        <v>4695.5579562664088</v>
      </c>
      <c r="L46" s="14">
        <v>4597.2435448745955</v>
      </c>
      <c r="M46" s="14">
        <v>4529.8812272452833</v>
      </c>
      <c r="N46" s="14">
        <v>4427.8021166927829</v>
      </c>
      <c r="O46" s="14">
        <v>4447.860506916637</v>
      </c>
      <c r="P46" s="14">
        <v>4555.8041205925956</v>
      </c>
      <c r="Q46" s="14">
        <v>4542.5454109437069</v>
      </c>
      <c r="R46" s="14">
        <v>4600.1043340693095</v>
      </c>
      <c r="S46" s="14">
        <v>4602.5815423499362</v>
      </c>
      <c r="T46" s="14">
        <v>4587.1500841076004</v>
      </c>
      <c r="U46" s="14">
        <v>4556.5529942441781</v>
      </c>
    </row>
    <row r="47" spans="1:21" ht="16.5" x14ac:dyDescent="0.2">
      <c r="A47" s="16" t="s">
        <v>117</v>
      </c>
      <c r="B47" s="14">
        <v>1372.9764732409565</v>
      </c>
      <c r="C47" s="14">
        <v>1368.9991957058819</v>
      </c>
      <c r="D47" s="14">
        <v>1329.2516679171802</v>
      </c>
      <c r="E47" s="14">
        <v>1295.6894632500328</v>
      </c>
      <c r="F47" s="14">
        <v>1314.0673737532331</v>
      </c>
      <c r="G47" s="14">
        <v>1362.0138120480033</v>
      </c>
      <c r="H47" s="14">
        <v>1336.8574243336468</v>
      </c>
      <c r="I47" s="14">
        <v>1308.093991258005</v>
      </c>
      <c r="J47" s="14">
        <v>1329.593974531417</v>
      </c>
      <c r="K47" s="14">
        <v>1382.6859351638652</v>
      </c>
      <c r="L47" s="14">
        <v>1338.9313216592325</v>
      </c>
      <c r="M47" s="14">
        <v>1325.9960758437626</v>
      </c>
      <c r="N47" s="14">
        <v>1336.9568375701167</v>
      </c>
      <c r="O47" s="14">
        <v>1419.7179393106958</v>
      </c>
      <c r="P47" s="14">
        <v>1404.8915398017521</v>
      </c>
      <c r="Q47" s="14">
        <v>1372.7409837815035</v>
      </c>
      <c r="R47" s="14">
        <v>1351.623872384831</v>
      </c>
      <c r="S47" s="14">
        <v>1395.5266373257284</v>
      </c>
      <c r="T47" s="14">
        <v>1357.6699141971915</v>
      </c>
      <c r="U47" s="14">
        <v>1316.9554231029047</v>
      </c>
    </row>
    <row r="48" spans="1:21" ht="16.5" x14ac:dyDescent="0.2">
      <c r="A48" s="16" t="s">
        <v>118</v>
      </c>
      <c r="B48" s="14">
        <v>817.46530929612004</v>
      </c>
      <c r="C48" s="14">
        <v>827.51467549575386</v>
      </c>
      <c r="D48" s="14">
        <v>832.24937732425985</v>
      </c>
      <c r="E48" s="14">
        <v>800.20100252118584</v>
      </c>
      <c r="F48" s="14">
        <v>891.00305670272621</v>
      </c>
      <c r="G48" s="14">
        <v>894.53900331928617</v>
      </c>
      <c r="H48" s="14">
        <v>923.87079081844342</v>
      </c>
      <c r="I48" s="14">
        <v>930.95592403835155</v>
      </c>
      <c r="J48" s="14">
        <v>962.97570640519996</v>
      </c>
      <c r="K48" s="14">
        <v>956.4700772422799</v>
      </c>
      <c r="L48" s="14">
        <v>959.84381390694978</v>
      </c>
      <c r="M48" s="14">
        <v>960.22796185339985</v>
      </c>
      <c r="N48" s="14">
        <v>1000.458255284125</v>
      </c>
      <c r="O48" s="14">
        <v>996.52481675874992</v>
      </c>
      <c r="P48" s="14">
        <v>1003.3071187211</v>
      </c>
      <c r="Q48" s="14">
        <v>1018.9131695507499</v>
      </c>
      <c r="R48" s="14">
        <v>1053.373930392579</v>
      </c>
      <c r="S48" s="14">
        <v>1067.9541039287856</v>
      </c>
      <c r="T48" s="14">
        <v>1029.3513832986175</v>
      </c>
      <c r="U48" s="14">
        <v>1013.3507794595499</v>
      </c>
    </row>
    <row r="49" spans="1:21" ht="16.5" x14ac:dyDescent="0.2">
      <c r="A49" s="16" t="s">
        <v>119</v>
      </c>
      <c r="B49" s="14">
        <v>122.674742525</v>
      </c>
      <c r="C49" s="14">
        <v>124.464063317</v>
      </c>
      <c r="D49" s="14">
        <v>130.77783876300001</v>
      </c>
      <c r="E49" s="14">
        <v>137.36945229399998</v>
      </c>
      <c r="F49" s="14">
        <v>154.98578051199999</v>
      </c>
      <c r="G49" s="14">
        <v>153.84743802599999</v>
      </c>
      <c r="H49" s="14">
        <v>167.20057055699999</v>
      </c>
      <c r="I49" s="14">
        <v>178.668583969</v>
      </c>
      <c r="J49" s="14">
        <v>212.63008745799999</v>
      </c>
      <c r="K49" s="14">
        <v>213.05561374599998</v>
      </c>
      <c r="L49" s="14">
        <v>217.55693226599999</v>
      </c>
      <c r="M49" s="14">
        <v>222.61972459499998</v>
      </c>
      <c r="N49" s="14">
        <v>230.67188923800001</v>
      </c>
      <c r="O49" s="14">
        <v>230.30003712199999</v>
      </c>
      <c r="P49" s="14">
        <v>234.34186443299998</v>
      </c>
      <c r="Q49" s="14">
        <v>238.54442162199999</v>
      </c>
      <c r="R49" s="14">
        <v>238.33902459799998</v>
      </c>
      <c r="S49" s="14">
        <v>240.703116859</v>
      </c>
      <c r="T49" s="14">
        <v>243.25224095599998</v>
      </c>
      <c r="U49" s="14">
        <v>246.82885276099998</v>
      </c>
    </row>
    <row r="50" spans="1:21" ht="16.5" x14ac:dyDescent="0.2">
      <c r="A50" s="27" t="s">
        <v>120</v>
      </c>
      <c r="B50" s="28">
        <f t="shared" ref="B50:H50" si="11">+SUM(B46:B49)</f>
        <v>7055.3363181434188</v>
      </c>
      <c r="C50" s="28">
        <f t="shared" si="11"/>
        <v>7031.2008832421625</v>
      </c>
      <c r="D50" s="28">
        <f t="shared" si="11"/>
        <v>6936.5995170311789</v>
      </c>
      <c r="E50" s="28">
        <f t="shared" si="11"/>
        <v>6884.2118936458701</v>
      </c>
      <c r="F50" s="28">
        <f t="shared" si="11"/>
        <v>7066.6934483833647</v>
      </c>
      <c r="G50" s="28">
        <f t="shared" si="11"/>
        <v>7003.4461810022867</v>
      </c>
      <c r="H50" s="28">
        <f t="shared" si="11"/>
        <v>7043.8611204666668</v>
      </c>
      <c r="I50" s="28">
        <f t="shared" ref="I50:N50" si="12">+SUM(I46:I49)</f>
        <v>7125.9221964579083</v>
      </c>
      <c r="J50" s="28">
        <f t="shared" si="12"/>
        <v>7235.4415349964511</v>
      </c>
      <c r="K50" s="28">
        <f t="shared" si="12"/>
        <v>7247.7695824185539</v>
      </c>
      <c r="L50" s="28">
        <f t="shared" si="12"/>
        <v>7113.575612706778</v>
      </c>
      <c r="M50" s="28">
        <f t="shared" si="12"/>
        <v>7038.7249895374453</v>
      </c>
      <c r="N50" s="28">
        <f t="shared" si="12"/>
        <v>6995.8890987850245</v>
      </c>
      <c r="O50" s="28">
        <f t="shared" ref="O50:U50" si="13">+SUM(O46:O49)</f>
        <v>7094.4033001080825</v>
      </c>
      <c r="P50" s="28">
        <f t="shared" si="13"/>
        <v>7198.3446435484475</v>
      </c>
      <c r="Q50" s="28">
        <f t="shared" si="13"/>
        <v>7172.7439858979596</v>
      </c>
      <c r="R50" s="28">
        <f t="shared" si="13"/>
        <v>7243.441161444719</v>
      </c>
      <c r="S50" s="28">
        <f t="shared" si="13"/>
        <v>7306.7654004634496</v>
      </c>
      <c r="T50" s="28">
        <f t="shared" si="13"/>
        <v>7217.4236225594086</v>
      </c>
      <c r="U50" s="28">
        <f t="shared" si="13"/>
        <v>7133.6880495676323</v>
      </c>
    </row>
    <row r="51" spans="1:21" ht="5.25" customHeight="1" x14ac:dyDescent="0.2">
      <c r="A51" s="17"/>
      <c r="B51" s="32"/>
      <c r="C51" s="32"/>
      <c r="D51" s="32"/>
      <c r="E51" s="32"/>
      <c r="F51" s="32"/>
      <c r="G51" s="32"/>
      <c r="H51" s="32"/>
      <c r="I51" s="32"/>
      <c r="J51" s="32"/>
      <c r="K51" s="32"/>
      <c r="L51" s="32"/>
      <c r="M51" s="32"/>
      <c r="N51" s="32"/>
      <c r="O51" s="32"/>
      <c r="P51" s="32"/>
      <c r="Q51" s="32"/>
      <c r="R51" s="32"/>
      <c r="S51" s="32"/>
      <c r="T51" s="32"/>
      <c r="U51" s="32"/>
    </row>
    <row r="52" spans="1:21" ht="16.5" x14ac:dyDescent="0.2">
      <c r="A52" s="16" t="s">
        <v>121</v>
      </c>
      <c r="B52" s="14">
        <v>2319.6210415992259</v>
      </c>
      <c r="C52" s="25">
        <v>2328.5863694833324</v>
      </c>
      <c r="D52" s="14">
        <v>2331.1318640078293</v>
      </c>
      <c r="E52" s="14">
        <v>2333.4829958325363</v>
      </c>
      <c r="F52" s="14">
        <v>2230.2741305418981</v>
      </c>
      <c r="G52" s="14">
        <v>2220.494512984535</v>
      </c>
      <c r="H52" s="14">
        <v>2234.8895977908596</v>
      </c>
      <c r="I52" s="14">
        <v>2250.8929193388235</v>
      </c>
      <c r="J52" s="14">
        <v>2248.2165409925378</v>
      </c>
      <c r="K52" s="14">
        <v>2232.2381986709961</v>
      </c>
      <c r="L52" s="14">
        <v>2215.1723116524799</v>
      </c>
      <c r="M52" s="14">
        <v>2210.6619634544941</v>
      </c>
      <c r="N52" s="14">
        <v>2202.2215436438396</v>
      </c>
      <c r="O52" s="14">
        <v>2202.9591833709374</v>
      </c>
      <c r="P52" s="14">
        <v>2214.0962683172479</v>
      </c>
      <c r="Q52" s="14">
        <v>2215.1985388427775</v>
      </c>
      <c r="R52" s="14">
        <v>2223.6076317316879</v>
      </c>
      <c r="S52" s="14">
        <v>2215.6899343943091</v>
      </c>
      <c r="T52" s="14">
        <v>2211.2415115067474</v>
      </c>
      <c r="U52" s="14">
        <v>2205.9188489426247</v>
      </c>
    </row>
    <row r="53" spans="1:21" ht="16.5" x14ac:dyDescent="0.2">
      <c r="A53" s="16" t="s">
        <v>122</v>
      </c>
      <c r="B53" s="14">
        <v>9187.5635169225006</v>
      </c>
      <c r="C53" s="14">
        <v>9540.9291757617175</v>
      </c>
      <c r="D53" s="14">
        <v>10024.9652704735</v>
      </c>
      <c r="E53" s="14">
        <v>10470.664816246039</v>
      </c>
      <c r="F53" s="14">
        <v>11098.115707028519</v>
      </c>
      <c r="G53" s="14">
        <v>11338.89519570976</v>
      </c>
      <c r="H53" s="14">
        <v>12032.211947041878</v>
      </c>
      <c r="I53" s="14">
        <v>12686.793892927539</v>
      </c>
      <c r="J53" s="14">
        <v>13242.705788219198</v>
      </c>
      <c r="K53" s="14">
        <v>13536.21153046468</v>
      </c>
      <c r="L53" s="14">
        <v>13558.613835990198</v>
      </c>
      <c r="M53" s="14">
        <v>13571.87156600976</v>
      </c>
      <c r="N53" s="14">
        <v>13557.266895588498</v>
      </c>
      <c r="O53" s="14">
        <v>13568.4266098343</v>
      </c>
      <c r="P53" s="14">
        <v>13881.675426160877</v>
      </c>
      <c r="Q53" s="14">
        <v>13998.8675212454</v>
      </c>
      <c r="R53" s="14">
        <v>14314.560135202149</v>
      </c>
      <c r="S53" s="14">
        <v>14180.84439995424</v>
      </c>
      <c r="T53" s="14">
        <v>14148.55057218754</v>
      </c>
      <c r="U53" s="14">
        <v>14121.63092208295</v>
      </c>
    </row>
    <row r="54" spans="1:21" ht="16.5" x14ac:dyDescent="0.2">
      <c r="A54" s="16" t="s">
        <v>123</v>
      </c>
      <c r="B54" s="14">
        <v>1424.2599815598044</v>
      </c>
      <c r="C54" s="25">
        <v>1492.3202202799976</v>
      </c>
      <c r="D54" s="14">
        <v>1539.7756307212076</v>
      </c>
      <c r="E54" s="14">
        <v>1569.738953954268</v>
      </c>
      <c r="F54" s="14">
        <v>1671.8332966298603</v>
      </c>
      <c r="G54" s="14">
        <v>1687.1503227767346</v>
      </c>
      <c r="H54" s="14">
        <v>1769.2148450863056</v>
      </c>
      <c r="I54" s="14">
        <v>1851.4037071266955</v>
      </c>
      <c r="J54" s="14">
        <v>2040.158079294398</v>
      </c>
      <c r="K54" s="14">
        <v>2082.6860640864784</v>
      </c>
      <c r="L54" s="14">
        <v>2176.3171877618292</v>
      </c>
      <c r="M54" s="14">
        <v>2261.9262974980261</v>
      </c>
      <c r="N54" s="14">
        <v>2382.4267951053566</v>
      </c>
      <c r="O54" s="14">
        <v>2450.9259567688268</v>
      </c>
      <c r="P54" s="14">
        <v>2530.2322228324861</v>
      </c>
      <c r="Q54" s="14">
        <v>2620.1268039729994</v>
      </c>
      <c r="R54" s="14">
        <v>2758.3178774954658</v>
      </c>
      <c r="S54" s="14">
        <v>2772.1534668605805</v>
      </c>
      <c r="T54" s="14">
        <v>2851.2551426988853</v>
      </c>
      <c r="U54" s="14">
        <v>2882.9998646380095</v>
      </c>
    </row>
    <row r="55" spans="1:21" ht="16.5" x14ac:dyDescent="0.2">
      <c r="A55" s="27" t="s">
        <v>124</v>
      </c>
      <c r="B55" s="28">
        <f t="shared" ref="B55:H55" si="14">+SUM(B52:B54)</f>
        <v>12931.444540081531</v>
      </c>
      <c r="C55" s="28">
        <f t="shared" si="14"/>
        <v>13361.835765525047</v>
      </c>
      <c r="D55" s="28">
        <f t="shared" si="14"/>
        <v>13895.872765202537</v>
      </c>
      <c r="E55" s="28">
        <f t="shared" si="14"/>
        <v>14373.886766032843</v>
      </c>
      <c r="F55" s="28">
        <f t="shared" si="14"/>
        <v>15000.223134200278</v>
      </c>
      <c r="G55" s="28">
        <f t="shared" si="14"/>
        <v>15246.54003147103</v>
      </c>
      <c r="H55" s="28">
        <f t="shared" si="14"/>
        <v>16036.316389919044</v>
      </c>
      <c r="I55" s="28">
        <f t="shared" ref="I55:N55" si="15">+SUM(I52:I54)</f>
        <v>16789.090519393056</v>
      </c>
      <c r="J55" s="28">
        <f t="shared" si="15"/>
        <v>17531.080408506135</v>
      </c>
      <c r="K55" s="28">
        <f t="shared" si="15"/>
        <v>17851.135793222154</v>
      </c>
      <c r="L55" s="28">
        <f t="shared" si="15"/>
        <v>17950.103335404507</v>
      </c>
      <c r="M55" s="28">
        <f t="shared" si="15"/>
        <v>18044.45982696228</v>
      </c>
      <c r="N55" s="28">
        <f t="shared" si="15"/>
        <v>18141.915234337695</v>
      </c>
      <c r="O55" s="28">
        <f t="shared" ref="O55:U55" si="16">+SUM(O52:O54)</f>
        <v>18222.311749974066</v>
      </c>
      <c r="P55" s="28">
        <f t="shared" si="16"/>
        <v>18626.003917310609</v>
      </c>
      <c r="Q55" s="28">
        <f t="shared" si="16"/>
        <v>18834.192864061177</v>
      </c>
      <c r="R55" s="28">
        <f t="shared" si="16"/>
        <v>19296.485644429304</v>
      </c>
      <c r="S55" s="28">
        <f t="shared" si="16"/>
        <v>19168.687801209129</v>
      </c>
      <c r="T55" s="28">
        <f t="shared" si="16"/>
        <v>19211.047226393173</v>
      </c>
      <c r="U55" s="28">
        <f t="shared" si="16"/>
        <v>19210.549635663585</v>
      </c>
    </row>
    <row r="56" spans="1:21" ht="5.25" customHeight="1" x14ac:dyDescent="0.2">
      <c r="A56" s="17"/>
      <c r="B56" s="33"/>
      <c r="C56" s="33"/>
      <c r="D56" s="33"/>
      <c r="E56" s="33"/>
      <c r="F56" s="33"/>
      <c r="G56" s="33"/>
      <c r="H56" s="33"/>
      <c r="I56" s="33"/>
      <c r="J56" s="33"/>
      <c r="K56" s="33"/>
      <c r="L56" s="33"/>
      <c r="M56" s="33"/>
      <c r="N56" s="33"/>
      <c r="O56" s="33"/>
      <c r="P56" s="33"/>
      <c r="Q56" s="33"/>
      <c r="R56" s="33"/>
      <c r="S56" s="33"/>
      <c r="T56" s="33"/>
      <c r="U56" s="33"/>
    </row>
    <row r="57" spans="1:21" ht="16.5" x14ac:dyDescent="0.2">
      <c r="A57" s="16" t="s">
        <v>125</v>
      </c>
      <c r="B57" s="14">
        <v>894.68360039989841</v>
      </c>
      <c r="C57" s="14">
        <v>962.74614820193619</v>
      </c>
      <c r="D57" s="14">
        <v>1216.2533060177211</v>
      </c>
      <c r="E57" s="14">
        <v>850.88686585132962</v>
      </c>
      <c r="F57" s="14">
        <v>813.52411144112489</v>
      </c>
      <c r="G57" s="14">
        <v>983.71584462757096</v>
      </c>
      <c r="H57" s="14">
        <v>1346.1837943514797</v>
      </c>
      <c r="I57" s="14">
        <v>1477.8929644297991</v>
      </c>
      <c r="J57" s="14">
        <v>1782.6575331945419</v>
      </c>
      <c r="K57" s="14">
        <v>1950.1414737076796</v>
      </c>
      <c r="L57" s="14">
        <v>2363.9323403067065</v>
      </c>
      <c r="M57" s="14">
        <v>2296.2698916654226</v>
      </c>
      <c r="N57" s="14">
        <v>2596.8368996121953</v>
      </c>
      <c r="O57" s="14">
        <v>2993.920582136247</v>
      </c>
      <c r="P57" s="14">
        <v>3473.8668346221302</v>
      </c>
      <c r="Q57" s="14">
        <v>3037.9338667711922</v>
      </c>
      <c r="R57" s="14">
        <v>3149.9017507260651</v>
      </c>
      <c r="S57" s="14">
        <v>2914.1698655449736</v>
      </c>
      <c r="T57" s="14">
        <v>3234.8045545037817</v>
      </c>
      <c r="U57" s="14">
        <v>3619.2481916668116</v>
      </c>
    </row>
    <row r="58" spans="1:21" ht="16.5" x14ac:dyDescent="0.2">
      <c r="A58" s="16" t="s">
        <v>126</v>
      </c>
      <c r="B58" s="14">
        <v>668.41402644316372</v>
      </c>
      <c r="C58" s="14">
        <v>956.08824702087782</v>
      </c>
      <c r="D58" s="14">
        <v>975.43794836665973</v>
      </c>
      <c r="E58" s="14">
        <v>1312.1177917831362</v>
      </c>
      <c r="F58" s="14">
        <v>1521.1872446120353</v>
      </c>
      <c r="G58" s="14">
        <v>1406.4143228086534</v>
      </c>
      <c r="H58" s="14">
        <v>1610.479562265999</v>
      </c>
      <c r="I58" s="14">
        <v>1727.6996060515244</v>
      </c>
      <c r="J58" s="14">
        <v>1851.2178079051864</v>
      </c>
      <c r="K58" s="14">
        <v>1525.353214933453</v>
      </c>
      <c r="L58" s="14">
        <v>1318.1960901731777</v>
      </c>
      <c r="M58" s="14">
        <v>1415.9517806155841</v>
      </c>
      <c r="N58" s="14">
        <v>1280.9117633210899</v>
      </c>
      <c r="O58" s="14">
        <v>1403.5212318934482</v>
      </c>
      <c r="P58" s="14">
        <v>1509.1571241511181</v>
      </c>
      <c r="Q58" s="14">
        <v>1351.0038752989822</v>
      </c>
      <c r="R58" s="14">
        <v>1628.2007794123485</v>
      </c>
      <c r="S58" s="14">
        <v>1547.9638677164726</v>
      </c>
      <c r="T58" s="14">
        <v>1483.7811653949298</v>
      </c>
      <c r="U58" s="14">
        <v>1200.7804131042196</v>
      </c>
    </row>
    <row r="59" spans="1:21" ht="16.5" x14ac:dyDescent="0.2">
      <c r="A59" s="27" t="s">
        <v>127</v>
      </c>
      <c r="B59" s="28">
        <f t="shared" ref="B59:H59" si="17">+SUM(B57:B58)</f>
        <v>1563.0976268430622</v>
      </c>
      <c r="C59" s="28">
        <f t="shared" si="17"/>
        <v>1918.834395222814</v>
      </c>
      <c r="D59" s="28">
        <f t="shared" si="17"/>
        <v>2191.691254384381</v>
      </c>
      <c r="E59" s="28">
        <f t="shared" si="17"/>
        <v>2163.0046576344657</v>
      </c>
      <c r="F59" s="28">
        <f t="shared" si="17"/>
        <v>2334.7113560531602</v>
      </c>
      <c r="G59" s="28">
        <f t="shared" si="17"/>
        <v>2390.1301674362244</v>
      </c>
      <c r="H59" s="28">
        <f t="shared" si="17"/>
        <v>2956.6633566174787</v>
      </c>
      <c r="I59" s="28">
        <f t="shared" ref="I59:N59" si="18">+SUM(I57:I58)</f>
        <v>3205.5925704813235</v>
      </c>
      <c r="J59" s="28">
        <f t="shared" si="18"/>
        <v>3633.8753410997283</v>
      </c>
      <c r="K59" s="28">
        <f t="shared" si="18"/>
        <v>3475.4946886411326</v>
      </c>
      <c r="L59" s="28">
        <f t="shared" si="18"/>
        <v>3682.1284304798842</v>
      </c>
      <c r="M59" s="28">
        <f t="shared" si="18"/>
        <v>3712.2216722810067</v>
      </c>
      <c r="N59" s="28">
        <f t="shared" si="18"/>
        <v>3877.7486629332852</v>
      </c>
      <c r="O59" s="28">
        <f t="shared" ref="O59:U59" si="19">+SUM(O57:O58)</f>
        <v>4397.4418140296948</v>
      </c>
      <c r="P59" s="28">
        <f t="shared" si="19"/>
        <v>4983.0239587732485</v>
      </c>
      <c r="Q59" s="28">
        <f t="shared" si="19"/>
        <v>4388.9377420701749</v>
      </c>
      <c r="R59" s="28">
        <f t="shared" si="19"/>
        <v>4778.1025301384134</v>
      </c>
      <c r="S59" s="28">
        <f t="shared" si="19"/>
        <v>4462.1337332614457</v>
      </c>
      <c r="T59" s="28">
        <f t="shared" si="19"/>
        <v>4718.5857198987114</v>
      </c>
      <c r="U59" s="28">
        <f t="shared" si="19"/>
        <v>4820.0286047710315</v>
      </c>
    </row>
    <row r="60" spans="1:21" ht="5.25" customHeight="1" x14ac:dyDescent="0.2">
      <c r="A60" s="17"/>
      <c r="B60" s="34"/>
      <c r="C60" s="34"/>
      <c r="D60" s="34"/>
      <c r="E60" s="34"/>
      <c r="F60" s="34"/>
      <c r="G60" s="34"/>
      <c r="H60" s="34"/>
      <c r="I60" s="34"/>
      <c r="J60" s="34"/>
      <c r="K60" s="34"/>
      <c r="L60" s="34"/>
      <c r="M60" s="34"/>
      <c r="N60" s="34"/>
      <c r="O60" s="34"/>
      <c r="P60" s="34"/>
      <c r="Q60" s="34"/>
      <c r="R60" s="34"/>
      <c r="S60" s="34"/>
      <c r="T60" s="34"/>
      <c r="U60" s="34"/>
    </row>
    <row r="61" spans="1:21" ht="16.5" x14ac:dyDescent="0.2">
      <c r="A61" s="27" t="s">
        <v>128</v>
      </c>
      <c r="B61" s="18">
        <v>336.20844365056615</v>
      </c>
      <c r="C61" s="18">
        <v>337.24084827204945</v>
      </c>
      <c r="D61" s="18">
        <v>460.26578601268807</v>
      </c>
      <c r="E61" s="18">
        <v>497.06862687968572</v>
      </c>
      <c r="F61" s="18">
        <v>468.87269343177155</v>
      </c>
      <c r="G61" s="18">
        <v>480.14251629793995</v>
      </c>
      <c r="H61" s="18">
        <v>527.22924737275662</v>
      </c>
      <c r="I61" s="18">
        <v>541.77174410819134</v>
      </c>
      <c r="J61" s="18">
        <v>608.64876573689025</v>
      </c>
      <c r="K61" s="18">
        <v>607.3649958852526</v>
      </c>
      <c r="L61" s="18">
        <v>523.13437263293736</v>
      </c>
      <c r="M61" s="18">
        <v>511.44669852079841</v>
      </c>
      <c r="N61" s="18">
        <v>465.55918569246916</v>
      </c>
      <c r="O61" s="18">
        <v>465.69003684657201</v>
      </c>
      <c r="P61" s="18">
        <v>482.10934424071553</v>
      </c>
      <c r="Q61" s="18">
        <v>535.01579286996321</v>
      </c>
      <c r="R61" s="18">
        <v>538.94699106664802</v>
      </c>
      <c r="S61" s="18">
        <v>547.78730164655133</v>
      </c>
      <c r="T61" s="18">
        <v>537.84109073765887</v>
      </c>
      <c r="U61" s="18">
        <v>540.09677352446579</v>
      </c>
    </row>
    <row r="62" spans="1:21" s="37" customFormat="1" ht="16.5" x14ac:dyDescent="0.25">
      <c r="A62" s="35" t="s">
        <v>129</v>
      </c>
      <c r="B62" s="36">
        <v>92543.88836390496</v>
      </c>
      <c r="C62" s="36">
        <v>100193.56199451788</v>
      </c>
      <c r="D62" s="36">
        <v>101766.66336893981</v>
      </c>
      <c r="E62" s="36">
        <v>102126.32344336832</v>
      </c>
      <c r="F62" s="36">
        <v>112469.12549244212</v>
      </c>
      <c r="G62" s="36"/>
      <c r="H62" s="36"/>
      <c r="I62" s="36"/>
      <c r="J62" s="36"/>
      <c r="K62" s="36"/>
      <c r="L62" s="36"/>
      <c r="M62" s="36"/>
      <c r="N62" s="36"/>
      <c r="O62" s="36"/>
      <c r="P62" s="36"/>
      <c r="Q62" s="36"/>
      <c r="R62" s="36"/>
      <c r="S62" s="36"/>
      <c r="T62" s="36"/>
      <c r="U62" s="36"/>
    </row>
    <row r="63" spans="1:21" ht="16.5" x14ac:dyDescent="0.2">
      <c r="A63" s="38" t="s">
        <v>130</v>
      </c>
      <c r="B63" s="39">
        <f>+SUM(B14,B20,B26:B27,B38,B42:B44,B50,B55,B59,B61,B62)</f>
        <v>322895.87014205311</v>
      </c>
      <c r="C63" s="39">
        <f>+SUM(C14,C20,C26:C27,C38,C42:C44,C50,C55,C59,C61,C62)</f>
        <v>336911.58606194006</v>
      </c>
      <c r="D63" s="40">
        <f>+SUM(D14,D20,D26:D27,D38,D42:D44,D50,D55,D59,D61,D62)</f>
        <v>344251.79626355926</v>
      </c>
      <c r="E63" s="40">
        <f>+SUM(E14,E20,E26:E27,E38,E42:E44,E50,E55,E59,E61,E62)</f>
        <v>351705.1626431545</v>
      </c>
      <c r="F63" s="40">
        <f>+SUM(F14,F20,F26:F27,F38,F42:F44,F50,F55,F59,F61,F62)</f>
        <v>366903.92497207568</v>
      </c>
      <c r="G63" s="40">
        <f>+SUM(G14,G20,G26:G27,G38,G42:G44,G50,G55,G59,G61,G62)</f>
        <v>261124.1146754009</v>
      </c>
      <c r="H63" s="40">
        <f>+SUM(H14,H20,H26:H27,H38,H42:H44,H50,H55,H59,H61,H62)</f>
        <v>276111.04118064709</v>
      </c>
      <c r="I63" s="40">
        <f>+SUM(I14,I20,I26:I27,I38,I42:I44,I50,I55,I59,I61,I62)</f>
        <v>285896.22730714642</v>
      </c>
      <c r="J63" s="40">
        <f>+SUM(J14,J20,J26:J27,J38,J42:J44,J50,J55,J59,J61,J62)</f>
        <v>295591.23556267511</v>
      </c>
      <c r="K63" s="40">
        <f>+SUM(K14,K20,K26:K27,K38,K42:K44,K50,K55,K59,K61,K62)</f>
        <v>298878.15999654267</v>
      </c>
      <c r="L63" s="40">
        <f>+SUM(L14,L20,L26:L27,L38,L42:L44,L50,L55,L59,L61,L62)</f>
        <v>298061.57306083327</v>
      </c>
      <c r="M63" s="40">
        <f>+SUM(M14,M20,M26:M27,M38,M42:M44,M50,M55,M59,M61,M62)</f>
        <v>298732.48462898773</v>
      </c>
      <c r="N63" s="40">
        <f>+SUM(N14,N20,N26:N27,N38,N42:N44,N50,N55,N59,N61,N62)</f>
        <v>301181.59617503732</v>
      </c>
      <c r="O63" s="40">
        <f>+SUM(O14,O20,O26:O27,O38,O42:O44,O50,O55,O59,O61,O62)</f>
        <v>306891.99469770672</v>
      </c>
      <c r="P63" s="40">
        <f>+SUM(P14,P20,P26:P27,P38,P42:P44,P50,P55,P59,P61,P62)</f>
        <v>316615.57613818289</v>
      </c>
      <c r="Q63" s="40">
        <f>+SUM(Q14,Q20,Q26:Q27,Q38,Q42:Q44,Q50,Q55,Q59,Q61,Q62)</f>
        <v>320615.63144733116</v>
      </c>
      <c r="R63" s="39">
        <f>+SUM(R14,R20,R26:R27,R38,R42:R44,R50,R55,R59,R61,R62)</f>
        <v>327859.38309154037</v>
      </c>
      <c r="S63" s="40">
        <f>+SUM(S14,S20,S26:S27,S38,S42:S44,S50,S55,S59,S61,S62)</f>
        <v>329850.24069432542</v>
      </c>
      <c r="T63" s="40">
        <f>+SUM(T14,T20,T26:T27,T38,T42:T44,T50,T55,T59,T61,T62)</f>
        <v>335698.44338907022</v>
      </c>
      <c r="U63" s="39">
        <f>+SUM(U14,U20,U26:U27,U38,U42:U44,U50,U55,U59,U61,U62)</f>
        <v>343840.79683003417</v>
      </c>
    </row>
    <row r="64" spans="1:21" ht="5.25" customHeight="1" x14ac:dyDescent="0.2">
      <c r="A64" s="7"/>
      <c r="B64" s="41"/>
      <c r="C64" s="41"/>
      <c r="D64" s="41"/>
      <c r="E64" s="41"/>
      <c r="F64" s="41"/>
      <c r="G64" s="41"/>
      <c r="H64" s="41"/>
      <c r="I64" s="41"/>
      <c r="J64" s="41"/>
      <c r="K64" s="41"/>
      <c r="L64" s="41"/>
      <c r="M64" s="41"/>
      <c r="N64" s="41"/>
      <c r="O64" s="41"/>
      <c r="P64" s="41"/>
      <c r="Q64" s="41"/>
      <c r="R64" s="41"/>
      <c r="S64" s="41"/>
      <c r="T64" s="41"/>
      <c r="U64" s="41"/>
    </row>
    <row r="65" spans="1:21" ht="16.5" x14ac:dyDescent="0.2">
      <c r="A65" s="17" t="s">
        <v>131</v>
      </c>
      <c r="B65" s="18">
        <v>1452.4694882577674</v>
      </c>
      <c r="C65" s="18">
        <v>825.6665252870315</v>
      </c>
      <c r="D65" s="18">
        <v>759.60809927161313</v>
      </c>
      <c r="E65" s="18">
        <v>762.17928636761042</v>
      </c>
      <c r="F65" s="18">
        <v>1049.7329271801332</v>
      </c>
      <c r="G65" s="18">
        <v>1360.3737715049676</v>
      </c>
      <c r="H65" s="18">
        <v>1893.7578822214161</v>
      </c>
      <c r="I65" s="18">
        <v>2295.8073473136615</v>
      </c>
      <c r="J65" s="18">
        <v>1757.6061727448648</v>
      </c>
      <c r="K65" s="18">
        <v>1517.5501128423193</v>
      </c>
      <c r="L65" s="18">
        <v>1859.8610935496763</v>
      </c>
      <c r="M65" s="18">
        <v>1258.7417925668417</v>
      </c>
      <c r="N65" s="18">
        <v>2154.3605347085572</v>
      </c>
      <c r="O65" s="18">
        <v>1193.146624133215</v>
      </c>
      <c r="P65" s="18">
        <v>1375.5349530765577</v>
      </c>
      <c r="Q65" s="18">
        <v>983.36676409203483</v>
      </c>
      <c r="R65" s="18">
        <v>1011.9343675924706</v>
      </c>
      <c r="S65" s="18">
        <v>900.11241098065818</v>
      </c>
      <c r="T65" s="18">
        <v>1259.1046181600118</v>
      </c>
      <c r="U65" s="18">
        <v>1438.9270056148321</v>
      </c>
    </row>
    <row r="66" spans="1:21" ht="16.5" x14ac:dyDescent="0.2">
      <c r="A66" s="17" t="s">
        <v>132</v>
      </c>
      <c r="B66" s="18">
        <v>56.627187432544993</v>
      </c>
      <c r="C66" s="18">
        <v>74.049215692755993</v>
      </c>
      <c r="D66" s="18">
        <v>52.389046666755</v>
      </c>
      <c r="E66" s="18">
        <v>49.836502571811096</v>
      </c>
      <c r="F66" s="18">
        <v>55.813226271428803</v>
      </c>
      <c r="G66" s="18">
        <v>52.570969157014396</v>
      </c>
      <c r="H66" s="18">
        <v>5.8279936772724987</v>
      </c>
      <c r="I66" s="18">
        <v>4.8960611581608013</v>
      </c>
      <c r="J66" s="18">
        <v>3.5679585695860001</v>
      </c>
      <c r="K66" s="18">
        <v>5.5567562547343998</v>
      </c>
      <c r="L66" s="18">
        <v>8.8676261688461988</v>
      </c>
      <c r="M66" s="18">
        <v>115.97414472477001</v>
      </c>
      <c r="N66" s="18">
        <v>217.56627261517997</v>
      </c>
      <c r="O66" s="18">
        <v>159.98901937999997</v>
      </c>
      <c r="P66" s="18">
        <v>66.64073650556</v>
      </c>
      <c r="Q66" s="18">
        <v>24.960016571499999</v>
      </c>
      <c r="R66" s="18">
        <v>21.658007165000001</v>
      </c>
      <c r="S66" s="18">
        <v>26.41110338567999</v>
      </c>
      <c r="T66" s="18">
        <v>36.033472588019983</v>
      </c>
      <c r="U66" s="18">
        <v>24.411779965249998</v>
      </c>
    </row>
    <row r="67" spans="1:21" ht="5.25" customHeight="1" x14ac:dyDescent="0.2">
      <c r="A67" s="10"/>
      <c r="B67" s="41"/>
      <c r="C67" s="41"/>
      <c r="D67" s="41"/>
      <c r="E67" s="41"/>
      <c r="F67" s="41"/>
      <c r="G67" s="41"/>
      <c r="H67" s="41"/>
      <c r="I67" s="41"/>
      <c r="J67" s="41"/>
      <c r="K67" s="41"/>
      <c r="L67" s="41"/>
      <c r="M67" s="41"/>
      <c r="N67" s="41"/>
      <c r="O67" s="41"/>
      <c r="P67" s="41"/>
      <c r="Q67" s="41"/>
      <c r="R67" s="41"/>
      <c r="S67" s="41"/>
      <c r="T67" s="41"/>
      <c r="U67" s="41"/>
    </row>
    <row r="68" spans="1:21" ht="16.5" x14ac:dyDescent="0.2">
      <c r="A68" s="10" t="s">
        <v>133</v>
      </c>
      <c r="B68" s="18">
        <f t="shared" ref="B68:H68" si="20">+SUM(B69:B72)</f>
        <v>143406.0006990449</v>
      </c>
      <c r="C68" s="18">
        <f t="shared" si="20"/>
        <v>145913.71888591498</v>
      </c>
      <c r="D68" s="18">
        <f t="shared" si="20"/>
        <v>148267.6768596184</v>
      </c>
      <c r="E68" s="18">
        <f t="shared" si="20"/>
        <v>145603.16414620483</v>
      </c>
      <c r="F68" s="18">
        <f t="shared" si="20"/>
        <v>148098.48186783958</v>
      </c>
      <c r="G68" s="18">
        <f t="shared" si="20"/>
        <v>152708.14463416487</v>
      </c>
      <c r="H68" s="18">
        <f t="shared" si="20"/>
        <v>160029.32701774623</v>
      </c>
      <c r="I68" s="18">
        <f t="shared" ref="I68:N68" si="21">+SUM(I69:I72)</f>
        <v>166533.18228309829</v>
      </c>
      <c r="J68" s="18">
        <f t="shared" si="21"/>
        <v>173341.1496333277</v>
      </c>
      <c r="K68" s="18">
        <f t="shared" si="21"/>
        <v>178352.40130121907</v>
      </c>
      <c r="L68" s="18">
        <f t="shared" si="21"/>
        <v>180244.52229854945</v>
      </c>
      <c r="M68" s="18">
        <f t="shared" si="21"/>
        <v>180296.27154770616</v>
      </c>
      <c r="N68" s="18">
        <f t="shared" si="21"/>
        <v>181987.396638423</v>
      </c>
      <c r="O68" s="18">
        <f t="shared" ref="O68:U68" si="22">+SUM(O69:O72)</f>
        <v>189212.18846726633</v>
      </c>
      <c r="P68" s="18">
        <f t="shared" si="22"/>
        <v>198365.4063180504</v>
      </c>
      <c r="Q68" s="18">
        <f t="shared" si="22"/>
        <v>196024.96748801623</v>
      </c>
      <c r="R68" s="18">
        <f t="shared" si="22"/>
        <v>200872.17683259887</v>
      </c>
      <c r="S68" s="18">
        <f t="shared" si="22"/>
        <v>207803.98666827101</v>
      </c>
      <c r="T68" s="18">
        <f t="shared" si="22"/>
        <v>211825.0085249737</v>
      </c>
      <c r="U68" s="18">
        <f t="shared" si="22"/>
        <v>212609.72415765747</v>
      </c>
    </row>
    <row r="69" spans="1:21" ht="16.5" x14ac:dyDescent="0.2">
      <c r="A69" s="16" t="s">
        <v>134</v>
      </c>
      <c r="B69" s="14">
        <v>25146.791783473796</v>
      </c>
      <c r="C69" s="14">
        <v>26555.397267808115</v>
      </c>
      <c r="D69" s="14">
        <v>27147.915127360877</v>
      </c>
      <c r="E69" s="14">
        <v>26649.842305692891</v>
      </c>
      <c r="F69" s="14">
        <v>26198.035775326705</v>
      </c>
      <c r="G69" s="14">
        <v>28216.89277385881</v>
      </c>
      <c r="H69" s="14">
        <v>26462.098255616096</v>
      </c>
      <c r="I69" s="14">
        <v>25541.523023452661</v>
      </c>
      <c r="J69" s="14">
        <v>25932.053058945996</v>
      </c>
      <c r="K69" s="14">
        <v>23959.428966191161</v>
      </c>
      <c r="L69" s="14">
        <v>23544.511452656123</v>
      </c>
      <c r="M69" s="14">
        <v>22824.923806344257</v>
      </c>
      <c r="N69" s="14">
        <v>23809.859461152919</v>
      </c>
      <c r="O69" s="14">
        <v>22465.408893666743</v>
      </c>
      <c r="P69" s="14">
        <v>23105.663366736819</v>
      </c>
      <c r="Q69" s="14">
        <v>23028.198165551672</v>
      </c>
      <c r="R69" s="14">
        <v>24579.535645738895</v>
      </c>
      <c r="S69" s="14">
        <v>25471.169037984004</v>
      </c>
      <c r="T69" s="14">
        <v>24849.210190419555</v>
      </c>
      <c r="U69" s="14">
        <v>23643.691851587246</v>
      </c>
    </row>
    <row r="70" spans="1:21" ht="16.5" x14ac:dyDescent="0.2">
      <c r="A70" s="16" t="s">
        <v>135</v>
      </c>
      <c r="B70" s="14">
        <v>55899.718826655306</v>
      </c>
      <c r="C70" s="14">
        <v>54511.127119538454</v>
      </c>
      <c r="D70" s="14">
        <v>53481.633605353454</v>
      </c>
      <c r="E70" s="14">
        <v>54742.118276371184</v>
      </c>
      <c r="F70" s="14">
        <v>52428.67095811959</v>
      </c>
      <c r="G70" s="14">
        <v>53221.083089828469</v>
      </c>
      <c r="H70" s="14">
        <v>60524.827533149029</v>
      </c>
      <c r="I70" s="14">
        <v>68708.136829198367</v>
      </c>
      <c r="J70" s="14">
        <v>72273.697315303987</v>
      </c>
      <c r="K70" s="14">
        <v>85133.417208866857</v>
      </c>
      <c r="L70" s="14">
        <v>85946.141722238186</v>
      </c>
      <c r="M70" s="14">
        <v>88788.140182758012</v>
      </c>
      <c r="N70" s="14">
        <v>86597.459521732162</v>
      </c>
      <c r="O70" s="14">
        <v>91149.889535272639</v>
      </c>
      <c r="P70" s="14">
        <v>94250.306075387387</v>
      </c>
      <c r="Q70" s="14">
        <v>94680.071262599697</v>
      </c>
      <c r="R70" s="14">
        <v>96329.827388375488</v>
      </c>
      <c r="S70" s="14">
        <v>100257.24175583167</v>
      </c>
      <c r="T70" s="14">
        <v>101458.80362635662</v>
      </c>
      <c r="U70" s="14">
        <v>103218.99930127584</v>
      </c>
    </row>
    <row r="71" spans="1:21" ht="16.5" x14ac:dyDescent="0.2">
      <c r="A71" s="16" t="s">
        <v>136</v>
      </c>
      <c r="B71" s="14">
        <v>62061.659396790492</v>
      </c>
      <c r="C71" s="14">
        <v>64599.962950140936</v>
      </c>
      <c r="D71" s="14">
        <v>67319.99808851078</v>
      </c>
      <c r="E71" s="14">
        <v>63875.04052069407</v>
      </c>
      <c r="F71" s="14">
        <v>69198.435786542497</v>
      </c>
      <c r="G71" s="14">
        <v>70967.225978642629</v>
      </c>
      <c r="H71" s="14">
        <v>72642.766550016357</v>
      </c>
      <c r="I71" s="14">
        <v>71499.700312635876</v>
      </c>
      <c r="J71" s="14">
        <v>74293.893846483348</v>
      </c>
      <c r="K71" s="14">
        <v>68331.232985660987</v>
      </c>
      <c r="L71" s="14">
        <v>70313.707393044708</v>
      </c>
      <c r="M71" s="14">
        <v>68292.281219831551</v>
      </c>
      <c r="N71" s="14">
        <v>71149.883291083461</v>
      </c>
      <c r="O71" s="14">
        <v>75230.814602702041</v>
      </c>
      <c r="P71" s="14">
        <v>80742.467311360393</v>
      </c>
      <c r="Q71" s="14">
        <v>77972.290080201754</v>
      </c>
      <c r="R71" s="14">
        <v>79614.903767817901</v>
      </c>
      <c r="S71" s="14">
        <v>81734.240632642846</v>
      </c>
      <c r="T71" s="14">
        <v>84749.534767041245</v>
      </c>
      <c r="U71" s="14">
        <v>85076.482153468984</v>
      </c>
    </row>
    <row r="72" spans="1:21" ht="16.5" x14ac:dyDescent="0.2">
      <c r="A72" s="16" t="s">
        <v>137</v>
      </c>
      <c r="B72" s="14">
        <v>297.83069212531456</v>
      </c>
      <c r="C72" s="14">
        <v>247.23154842746726</v>
      </c>
      <c r="D72" s="14">
        <v>318.13003839329019</v>
      </c>
      <c r="E72" s="14">
        <v>336.16304344669368</v>
      </c>
      <c r="F72" s="14">
        <v>273.33934785080618</v>
      </c>
      <c r="G72" s="14">
        <v>302.9427918349391</v>
      </c>
      <c r="H72" s="14">
        <v>399.63467896473588</v>
      </c>
      <c r="I72" s="14">
        <v>783.82211781136084</v>
      </c>
      <c r="J72" s="14">
        <v>841.50541259438592</v>
      </c>
      <c r="K72" s="14">
        <v>928.32214050007531</v>
      </c>
      <c r="L72" s="14">
        <v>440.16173061043543</v>
      </c>
      <c r="M72" s="14">
        <v>390.92633877233555</v>
      </c>
      <c r="N72" s="14">
        <v>430.19436445445047</v>
      </c>
      <c r="O72" s="14">
        <v>366.07543562493498</v>
      </c>
      <c r="P72" s="14">
        <v>266.96956456580597</v>
      </c>
      <c r="Q72" s="14">
        <v>344.40797966311499</v>
      </c>
      <c r="R72" s="14">
        <v>347.91003066655998</v>
      </c>
      <c r="S72" s="14">
        <v>341.335241812525</v>
      </c>
      <c r="T72" s="14">
        <v>767.45994115628014</v>
      </c>
      <c r="U72" s="14">
        <v>670.55085132537738</v>
      </c>
    </row>
    <row r="73" spans="1:21" ht="16.5" x14ac:dyDescent="0.2">
      <c r="A73" s="10" t="s">
        <v>138</v>
      </c>
      <c r="B73" s="18">
        <f t="shared" ref="B73:H73" si="23">+SUM(B74:B77)</f>
        <v>49663.016463704967</v>
      </c>
      <c r="C73" s="18">
        <f t="shared" si="23"/>
        <v>54728.309218798408</v>
      </c>
      <c r="D73" s="18">
        <f t="shared" si="23"/>
        <v>57338.523218141017</v>
      </c>
      <c r="E73" s="18">
        <f t="shared" si="23"/>
        <v>63161.366949485018</v>
      </c>
      <c r="F73" s="18">
        <f t="shared" si="23"/>
        <v>63054.633807544466</v>
      </c>
      <c r="G73" s="18">
        <f t="shared" si="23"/>
        <v>62778.906702335407</v>
      </c>
      <c r="H73" s="18">
        <f t="shared" si="23"/>
        <v>68653.662206937821</v>
      </c>
      <c r="I73" s="18">
        <f t="shared" ref="I73:N73" si="24">+SUM(I74:I77)</f>
        <v>70320.415479020055</v>
      </c>
      <c r="J73" s="18">
        <f t="shared" si="24"/>
        <v>72116.775171787303</v>
      </c>
      <c r="K73" s="18">
        <f t="shared" si="24"/>
        <v>70038.492582340739</v>
      </c>
      <c r="L73" s="18">
        <f t="shared" si="24"/>
        <v>66923.900004896306</v>
      </c>
      <c r="M73" s="18">
        <f t="shared" si="24"/>
        <v>68479.517934492746</v>
      </c>
      <c r="N73" s="18">
        <f t="shared" si="24"/>
        <v>65541.338703108981</v>
      </c>
      <c r="O73" s="18">
        <f t="shared" ref="O73:U73" si="25">+SUM(O74:O77)</f>
        <v>66085.659930603753</v>
      </c>
      <c r="P73" s="18">
        <f t="shared" si="25"/>
        <v>65529.432903533139</v>
      </c>
      <c r="Q73" s="18">
        <f t="shared" si="25"/>
        <v>70991.274921592354</v>
      </c>
      <c r="R73" s="18">
        <f t="shared" si="25"/>
        <v>72823.774071333261</v>
      </c>
      <c r="S73" s="18">
        <f t="shared" si="25"/>
        <v>68692.078495532784</v>
      </c>
      <c r="T73" s="18">
        <f t="shared" si="25"/>
        <v>68733.914305788261</v>
      </c>
      <c r="U73" s="18">
        <f t="shared" si="25"/>
        <v>76109.405453607309</v>
      </c>
    </row>
    <row r="74" spans="1:21" ht="16.5" x14ac:dyDescent="0.2">
      <c r="A74" s="16" t="s">
        <v>139</v>
      </c>
      <c r="B74" s="14">
        <v>6841.8091030309233</v>
      </c>
      <c r="C74" s="14">
        <v>8739.8326872228645</v>
      </c>
      <c r="D74" s="14">
        <v>9577.9732217925484</v>
      </c>
      <c r="E74" s="14">
        <v>14683.548468349376</v>
      </c>
      <c r="F74" s="14">
        <v>10278.055480446839</v>
      </c>
      <c r="G74" s="14">
        <v>11156.805843523513</v>
      </c>
      <c r="H74" s="14">
        <v>10499.887082485659</v>
      </c>
      <c r="I74" s="14">
        <v>11267.025468819706</v>
      </c>
      <c r="J74" s="14">
        <v>9087.921301368724</v>
      </c>
      <c r="K74" s="14">
        <v>8799.7698654860287</v>
      </c>
      <c r="L74" s="14">
        <v>13459.856883962382</v>
      </c>
      <c r="M74" s="14">
        <v>15322.533125081818</v>
      </c>
      <c r="N74" s="14">
        <v>15081.920027623539</v>
      </c>
      <c r="O74" s="14">
        <v>17222.041572619815</v>
      </c>
      <c r="P74" s="14">
        <v>15427.36112504369</v>
      </c>
      <c r="Q74" s="14">
        <v>21295.953648534767</v>
      </c>
      <c r="R74" s="14">
        <v>18509.768527163131</v>
      </c>
      <c r="S74" s="14">
        <v>17293.773858273387</v>
      </c>
      <c r="T74" s="14">
        <v>18247.775039657405</v>
      </c>
      <c r="U74" s="14">
        <v>25334.234159748266</v>
      </c>
    </row>
    <row r="75" spans="1:21" ht="16.5" x14ac:dyDescent="0.2">
      <c r="A75" s="16" t="s">
        <v>140</v>
      </c>
      <c r="B75" s="14">
        <v>11802.221160597837</v>
      </c>
      <c r="C75" s="14">
        <v>13195.729612036779</v>
      </c>
      <c r="D75" s="14">
        <v>14931.444753906608</v>
      </c>
      <c r="E75" s="14">
        <v>15218.723828129623</v>
      </c>
      <c r="F75" s="14">
        <v>18044.614950227206</v>
      </c>
      <c r="G75" s="14">
        <v>17937.926430750194</v>
      </c>
      <c r="H75" s="14">
        <v>22945.627482294094</v>
      </c>
      <c r="I75" s="14">
        <v>26266.619199723511</v>
      </c>
      <c r="J75" s="14">
        <v>30309.358060198625</v>
      </c>
      <c r="K75" s="14">
        <v>29346.873183443429</v>
      </c>
      <c r="L75" s="14">
        <v>23916.895301540622</v>
      </c>
      <c r="M75" s="14">
        <v>23589.138979574578</v>
      </c>
      <c r="N75" s="14">
        <v>22218.460384034839</v>
      </c>
      <c r="O75" s="14">
        <v>21170.205563948584</v>
      </c>
      <c r="P75" s="14">
        <v>21276.519798178364</v>
      </c>
      <c r="Q75" s="14">
        <v>21027.435638393061</v>
      </c>
      <c r="R75" s="14">
        <v>24060.857504597741</v>
      </c>
      <c r="S75" s="14">
        <v>22531.756369690502</v>
      </c>
      <c r="T75" s="14">
        <v>22038.749576605358</v>
      </c>
      <c r="U75" s="14">
        <v>22664.105161308624</v>
      </c>
    </row>
    <row r="76" spans="1:21" ht="16.5" x14ac:dyDescent="0.2">
      <c r="A76" s="16" t="s">
        <v>141</v>
      </c>
      <c r="B76" s="14">
        <v>26989.178325050521</v>
      </c>
      <c r="C76" s="14">
        <v>28914.340557885833</v>
      </c>
      <c r="D76" s="14">
        <v>29110.68655121393</v>
      </c>
      <c r="E76" s="14">
        <v>29747.102212697024</v>
      </c>
      <c r="F76" s="14">
        <v>31504.693879832426</v>
      </c>
      <c r="G76" s="14">
        <v>30414.219953645694</v>
      </c>
      <c r="H76" s="14">
        <v>31973.108204281059</v>
      </c>
      <c r="I76" s="14">
        <v>29127.756946982838</v>
      </c>
      <c r="J76" s="14">
        <v>28362.220599917946</v>
      </c>
      <c r="K76" s="14">
        <v>27352.350142793282</v>
      </c>
      <c r="L76" s="14">
        <v>25424.775836722303</v>
      </c>
      <c r="M76" s="14">
        <v>24641.603357699343</v>
      </c>
      <c r="N76" s="14">
        <v>23427.825618974606</v>
      </c>
      <c r="O76" s="14">
        <v>22829.106189118353</v>
      </c>
      <c r="P76" s="14">
        <v>24462.312069405085</v>
      </c>
      <c r="Q76" s="14">
        <v>24658.692627623524</v>
      </c>
      <c r="R76" s="14">
        <v>26215.847478038395</v>
      </c>
      <c r="S76" s="14">
        <v>24503.458721114905</v>
      </c>
      <c r="T76" s="14">
        <v>24159.707566488501</v>
      </c>
      <c r="U76" s="14">
        <v>23755.422887750414</v>
      </c>
    </row>
    <row r="77" spans="1:21" ht="16.5" x14ac:dyDescent="0.2">
      <c r="A77" s="16" t="s">
        <v>142</v>
      </c>
      <c r="B77" s="14">
        <v>4029.80787502569</v>
      </c>
      <c r="C77" s="14">
        <v>3878.4063616529302</v>
      </c>
      <c r="D77" s="14">
        <v>3718.4186912279301</v>
      </c>
      <c r="E77" s="14">
        <v>3511.9924403090004</v>
      </c>
      <c r="F77" s="14">
        <v>3227.2694970379998</v>
      </c>
      <c r="G77" s="14">
        <v>3269.9544744159998</v>
      </c>
      <c r="H77" s="14">
        <v>3235.0394378769997</v>
      </c>
      <c r="I77" s="14">
        <v>3659.0138634939999</v>
      </c>
      <c r="J77" s="14">
        <v>4357.2752103020002</v>
      </c>
      <c r="K77" s="14">
        <v>4539.4993906179998</v>
      </c>
      <c r="L77" s="14">
        <v>4122.3719826709994</v>
      </c>
      <c r="M77" s="14">
        <v>4926.2424721369998</v>
      </c>
      <c r="N77" s="14">
        <v>4813.1326724760002</v>
      </c>
      <c r="O77" s="14">
        <v>4864.3066049170002</v>
      </c>
      <c r="P77" s="14">
        <v>4363.2399109059997</v>
      </c>
      <c r="Q77" s="14">
        <v>4009.1930070409999</v>
      </c>
      <c r="R77" s="14">
        <v>4037.3005615339998</v>
      </c>
      <c r="S77" s="14">
        <v>4363.089546453999</v>
      </c>
      <c r="T77" s="14">
        <v>4287.6821230370006</v>
      </c>
      <c r="U77" s="14">
        <v>4355.6432447999996</v>
      </c>
    </row>
    <row r="78" spans="1:21" ht="16.5" x14ac:dyDescent="0.2">
      <c r="A78" s="27" t="s">
        <v>143</v>
      </c>
      <c r="B78" s="28">
        <f t="shared" ref="B78:U78" si="26">+SUM(B68,B73)</f>
        <v>193069.01716274986</v>
      </c>
      <c r="C78" s="28">
        <f t="shared" si="26"/>
        <v>200642.02810471339</v>
      </c>
      <c r="D78" s="28">
        <f t="shared" si="26"/>
        <v>205606.20007775942</v>
      </c>
      <c r="E78" s="28">
        <f t="shared" si="26"/>
        <v>208764.53109568986</v>
      </c>
      <c r="F78" s="28">
        <f t="shared" si="26"/>
        <v>211153.11567538406</v>
      </c>
      <c r="G78" s="28">
        <f t="shared" si="26"/>
        <v>215487.05133650027</v>
      </c>
      <c r="H78" s="28">
        <f t="shared" si="26"/>
        <v>228682.98922468405</v>
      </c>
      <c r="I78" s="28">
        <f t="shared" si="26"/>
        <v>236853.59776211833</v>
      </c>
      <c r="J78" s="28">
        <f t="shared" si="26"/>
        <v>245457.92480511501</v>
      </c>
      <c r="K78" s="28">
        <f t="shared" si="26"/>
        <v>248390.89388355979</v>
      </c>
      <c r="L78" s="28">
        <f t="shared" si="26"/>
        <v>247168.42230344575</v>
      </c>
      <c r="M78" s="28">
        <f t="shared" si="26"/>
        <v>248775.78948219889</v>
      </c>
      <c r="N78" s="28">
        <f t="shared" si="26"/>
        <v>247528.73534153198</v>
      </c>
      <c r="O78" s="28">
        <f t="shared" si="26"/>
        <v>255297.84839787008</v>
      </c>
      <c r="P78" s="28">
        <f t="shared" si="26"/>
        <v>263894.83922158356</v>
      </c>
      <c r="Q78" s="28">
        <f t="shared" si="26"/>
        <v>267016.24240960856</v>
      </c>
      <c r="R78" s="28">
        <f t="shared" si="26"/>
        <v>273695.9509039321</v>
      </c>
      <c r="S78" s="28">
        <f t="shared" si="26"/>
        <v>276496.06516380381</v>
      </c>
      <c r="T78" s="28">
        <f t="shared" si="26"/>
        <v>280558.92283076199</v>
      </c>
      <c r="U78" s="28">
        <f t="shared" si="26"/>
        <v>288719.1296112648</v>
      </c>
    </row>
    <row r="79" spans="1:21" ht="5.25" customHeight="1" x14ac:dyDescent="0.2">
      <c r="A79" s="17"/>
      <c r="B79" s="41"/>
      <c r="C79" s="41"/>
      <c r="D79" s="41"/>
      <c r="E79" s="41"/>
      <c r="F79" s="41"/>
      <c r="G79" s="41"/>
      <c r="H79" s="41"/>
      <c r="I79" s="41"/>
      <c r="J79" s="41"/>
      <c r="K79" s="41"/>
      <c r="L79" s="41"/>
      <c r="M79" s="41"/>
      <c r="N79" s="41"/>
      <c r="O79" s="41"/>
      <c r="P79" s="41"/>
      <c r="Q79" s="41"/>
      <c r="R79" s="41"/>
      <c r="S79" s="41"/>
      <c r="T79" s="41"/>
      <c r="U79" s="41"/>
    </row>
    <row r="80" spans="1:21" ht="16.5" x14ac:dyDescent="0.2">
      <c r="A80" s="16" t="s">
        <v>144</v>
      </c>
      <c r="B80" s="14">
        <v>240.70192945222499</v>
      </c>
      <c r="C80" s="14">
        <v>255.03173790522999</v>
      </c>
      <c r="D80" s="14">
        <v>214.79540229268997</v>
      </c>
      <c r="E80" s="14">
        <v>210.22888191829</v>
      </c>
      <c r="F80" s="14">
        <v>245.899320636</v>
      </c>
      <c r="G80" s="14">
        <v>251.95242254256576</v>
      </c>
      <c r="H80" s="14">
        <v>217.08754815187001</v>
      </c>
      <c r="I80" s="14">
        <v>222.13784039833999</v>
      </c>
      <c r="J80" s="14">
        <v>229.19282081759999</v>
      </c>
      <c r="K80" s="14">
        <v>228.00867882032</v>
      </c>
      <c r="L80" s="14">
        <v>237.36771433623997</v>
      </c>
      <c r="M80" s="14">
        <v>258.55504949364001</v>
      </c>
      <c r="N80" s="14">
        <v>217.68899841885002</v>
      </c>
      <c r="O80" s="14">
        <v>197.16183211789999</v>
      </c>
      <c r="P80" s="14">
        <v>208.48834303291997</v>
      </c>
      <c r="Q80" s="14">
        <v>202.04950725036699</v>
      </c>
      <c r="R80" s="14">
        <v>192.52571475641048</v>
      </c>
      <c r="S80" s="14">
        <v>183.0357693140873</v>
      </c>
      <c r="T80" s="14">
        <v>182.24825634697288</v>
      </c>
      <c r="U80" s="14">
        <v>171.40637770584999</v>
      </c>
    </row>
    <row r="81" spans="1:21" ht="16.5" x14ac:dyDescent="0.2">
      <c r="A81" s="16" t="s">
        <v>145</v>
      </c>
      <c r="B81" s="14">
        <v>638.31466741650581</v>
      </c>
      <c r="C81" s="14">
        <v>619.37353421032242</v>
      </c>
      <c r="D81" s="14">
        <v>636.23869330676598</v>
      </c>
      <c r="E81" s="14">
        <v>644.86496050532469</v>
      </c>
      <c r="F81" s="14">
        <v>862.74840261579504</v>
      </c>
      <c r="G81" s="14">
        <v>844.43540257540269</v>
      </c>
      <c r="H81" s="14">
        <v>858.93666042820917</v>
      </c>
      <c r="I81" s="14">
        <v>863.32673161155697</v>
      </c>
      <c r="J81" s="14">
        <v>997.97759508957597</v>
      </c>
      <c r="K81" s="14">
        <v>913.99951177654543</v>
      </c>
      <c r="L81" s="14">
        <v>790.69861635114853</v>
      </c>
      <c r="M81" s="14">
        <v>727.27915433492319</v>
      </c>
      <c r="N81" s="14">
        <v>865.59367768070604</v>
      </c>
      <c r="O81" s="14">
        <v>847.870045077947</v>
      </c>
      <c r="P81" s="14">
        <v>787.24066140713671</v>
      </c>
      <c r="Q81" s="14">
        <v>791.91801251154391</v>
      </c>
      <c r="R81" s="14">
        <v>910.14532306039894</v>
      </c>
      <c r="S81" s="14">
        <v>916.95743383784975</v>
      </c>
      <c r="T81" s="14">
        <v>814.2026808991086</v>
      </c>
      <c r="U81" s="14">
        <v>802.42071661574198</v>
      </c>
    </row>
    <row r="82" spans="1:21" ht="16.5" x14ac:dyDescent="0.2">
      <c r="A82" s="27" t="s">
        <v>146</v>
      </c>
      <c r="B82" s="28">
        <f t="shared" ref="B82:H82" si="27">+SUM(B80:B81)</f>
        <v>879.01659686873086</v>
      </c>
      <c r="C82" s="28">
        <f t="shared" si="27"/>
        <v>874.40527211555241</v>
      </c>
      <c r="D82" s="28">
        <f t="shared" si="27"/>
        <v>851.0340955994559</v>
      </c>
      <c r="E82" s="28">
        <f t="shared" si="27"/>
        <v>855.09384242361466</v>
      </c>
      <c r="F82" s="28">
        <f t="shared" si="27"/>
        <v>1108.647723251795</v>
      </c>
      <c r="G82" s="28">
        <f t="shared" si="27"/>
        <v>1096.3878251179685</v>
      </c>
      <c r="H82" s="28">
        <f t="shared" si="27"/>
        <v>1076.0242085800792</v>
      </c>
      <c r="I82" s="28">
        <f t="shared" ref="I82:N82" si="28">+SUM(I80:I81)</f>
        <v>1085.464572009897</v>
      </c>
      <c r="J82" s="28">
        <f t="shared" si="28"/>
        <v>1227.170415907176</v>
      </c>
      <c r="K82" s="28">
        <f t="shared" si="28"/>
        <v>1142.0081905968655</v>
      </c>
      <c r="L82" s="28">
        <f t="shared" si="28"/>
        <v>1028.0663306873885</v>
      </c>
      <c r="M82" s="28">
        <f t="shared" si="28"/>
        <v>985.8342038285632</v>
      </c>
      <c r="N82" s="28">
        <f t="shared" si="28"/>
        <v>1083.2826760995561</v>
      </c>
      <c r="O82" s="28">
        <f t="shared" ref="O82:U82" si="29">+SUM(O80:O81)</f>
        <v>1045.0318771958471</v>
      </c>
      <c r="P82" s="28">
        <f t="shared" si="29"/>
        <v>995.72900444005666</v>
      </c>
      <c r="Q82" s="28">
        <f t="shared" si="29"/>
        <v>993.96751976191092</v>
      </c>
      <c r="R82" s="28">
        <f t="shared" si="29"/>
        <v>1102.6710378168095</v>
      </c>
      <c r="S82" s="28">
        <f t="shared" si="29"/>
        <v>1099.993203151937</v>
      </c>
      <c r="T82" s="28">
        <f t="shared" si="29"/>
        <v>996.45093724608148</v>
      </c>
      <c r="U82" s="28">
        <f t="shared" si="29"/>
        <v>973.82709432159197</v>
      </c>
    </row>
    <row r="83" spans="1:21" ht="5.25" customHeight="1" x14ac:dyDescent="0.2">
      <c r="A83" s="17"/>
      <c r="B83" s="41"/>
      <c r="C83" s="41"/>
      <c r="D83" s="41"/>
      <c r="E83" s="41"/>
      <c r="F83" s="41"/>
      <c r="G83" s="41"/>
      <c r="H83" s="41"/>
      <c r="I83" s="41"/>
      <c r="J83" s="41"/>
      <c r="K83" s="41"/>
      <c r="L83" s="41"/>
      <c r="M83" s="41"/>
      <c r="N83" s="41"/>
      <c r="O83" s="41"/>
      <c r="P83" s="41"/>
      <c r="Q83" s="41"/>
      <c r="R83" s="41"/>
      <c r="S83" s="41"/>
      <c r="T83" s="41"/>
      <c r="U83" s="41"/>
    </row>
    <row r="84" spans="1:21" ht="16.5" x14ac:dyDescent="0.2">
      <c r="A84" s="16" t="s">
        <v>125</v>
      </c>
      <c r="B84" s="14">
        <v>206.34603635327773</v>
      </c>
      <c r="C84" s="14">
        <v>243.99358056247092</v>
      </c>
      <c r="D84" s="14">
        <v>79.790089528420012</v>
      </c>
      <c r="E84" s="14">
        <v>158.33574784841858</v>
      </c>
      <c r="F84" s="14">
        <v>190.11423224925701</v>
      </c>
      <c r="G84" s="14">
        <v>245.63323078233495</v>
      </c>
      <c r="H84" s="14">
        <v>109.02354426513561</v>
      </c>
      <c r="I84" s="14">
        <v>189.48031615715487</v>
      </c>
      <c r="J84" s="14">
        <v>228.81732595928131</v>
      </c>
      <c r="K84" s="14">
        <v>319.8435743408138</v>
      </c>
      <c r="L84" s="14">
        <v>118.68851200163873</v>
      </c>
      <c r="M84" s="14">
        <v>223.37050530044274</v>
      </c>
      <c r="N84" s="14">
        <v>268.34669677206801</v>
      </c>
      <c r="O84" s="14">
        <v>312.48977231908924</v>
      </c>
      <c r="P84" s="14">
        <v>79.159081157373166</v>
      </c>
      <c r="Q84" s="14">
        <v>166.22513763495627</v>
      </c>
      <c r="R84" s="14">
        <v>247.5022474389155</v>
      </c>
      <c r="S84" s="14">
        <v>305.6242270018522</v>
      </c>
      <c r="T84" s="14">
        <v>68.281317627506709</v>
      </c>
      <c r="U84" s="14">
        <v>140.74347004322337</v>
      </c>
    </row>
    <row r="85" spans="1:21" ht="16.5" x14ac:dyDescent="0.2">
      <c r="A85" s="16" t="s">
        <v>126</v>
      </c>
      <c r="B85" s="14">
        <v>2964.7642641737248</v>
      </c>
      <c r="C85" s="14">
        <v>3067.6870268129883</v>
      </c>
      <c r="D85" s="14">
        <v>3292.2902319658656</v>
      </c>
      <c r="E85" s="14">
        <v>3857.1540356700016</v>
      </c>
      <c r="F85" s="14">
        <v>4012.8262918100745</v>
      </c>
      <c r="G85" s="14">
        <v>4186.5979924699413</v>
      </c>
      <c r="H85" s="14">
        <v>4522.2438164193418</v>
      </c>
      <c r="I85" s="14">
        <v>4763.209583413488</v>
      </c>
      <c r="J85" s="14">
        <v>5062.6697117579624</v>
      </c>
      <c r="K85" s="14">
        <v>5244.3265891979236</v>
      </c>
      <c r="L85" s="14">
        <v>5457.9354647037699</v>
      </c>
      <c r="M85" s="14">
        <v>5440.8157348352497</v>
      </c>
      <c r="N85" s="14">
        <v>5546.6399575126561</v>
      </c>
      <c r="O85" s="14">
        <v>5641.7818026205077</v>
      </c>
      <c r="P85" s="14">
        <v>5684.9712752276091</v>
      </c>
      <c r="Q85" s="14">
        <v>5688.447514352496</v>
      </c>
      <c r="R85" s="14">
        <v>5616.463542745566</v>
      </c>
      <c r="S85" s="14">
        <v>5699.7693687243182</v>
      </c>
      <c r="T85" s="14">
        <v>5710.0917149540328</v>
      </c>
      <c r="U85" s="14">
        <v>5693.564254526359</v>
      </c>
    </row>
    <row r="86" spans="1:21" ht="16.5" x14ac:dyDescent="0.2">
      <c r="A86" s="27" t="s">
        <v>147</v>
      </c>
      <c r="B86" s="28">
        <f t="shared" ref="B86:H86" si="30">+SUM(B84:B85)</f>
        <v>3171.1103005270024</v>
      </c>
      <c r="C86" s="28">
        <f t="shared" si="30"/>
        <v>3311.6806073754592</v>
      </c>
      <c r="D86" s="28">
        <f t="shared" si="30"/>
        <v>3372.0803214942857</v>
      </c>
      <c r="E86" s="28">
        <f t="shared" si="30"/>
        <v>4015.4897835184202</v>
      </c>
      <c r="F86" s="28">
        <f t="shared" si="30"/>
        <v>4202.9405240593314</v>
      </c>
      <c r="G86" s="28">
        <f t="shared" si="30"/>
        <v>4432.2312232522763</v>
      </c>
      <c r="H86" s="28">
        <f t="shared" si="30"/>
        <v>4631.2673606844774</v>
      </c>
      <c r="I86" s="28">
        <f t="shared" ref="I86:N86" si="31">+SUM(I84:I85)</f>
        <v>4952.6898995706424</v>
      </c>
      <c r="J86" s="28">
        <f t="shared" si="31"/>
        <v>5291.4870377172438</v>
      </c>
      <c r="K86" s="28">
        <f t="shared" si="31"/>
        <v>5564.1701635387371</v>
      </c>
      <c r="L86" s="28">
        <f t="shared" si="31"/>
        <v>5576.6239767054085</v>
      </c>
      <c r="M86" s="28">
        <f t="shared" si="31"/>
        <v>5664.1862401356921</v>
      </c>
      <c r="N86" s="28">
        <f t="shared" si="31"/>
        <v>5814.986654284724</v>
      </c>
      <c r="O86" s="28">
        <f t="shared" ref="O86:U86" si="32">+SUM(O84:O85)</f>
        <v>5954.2715749395966</v>
      </c>
      <c r="P86" s="28">
        <f t="shared" si="32"/>
        <v>5764.1303563849824</v>
      </c>
      <c r="Q86" s="28">
        <f t="shared" si="32"/>
        <v>5854.6726519874519</v>
      </c>
      <c r="R86" s="28">
        <f t="shared" si="32"/>
        <v>5863.9657901844812</v>
      </c>
      <c r="S86" s="28">
        <f t="shared" si="32"/>
        <v>6005.3935957261701</v>
      </c>
      <c r="T86" s="28">
        <f t="shared" si="32"/>
        <v>5778.3730325815395</v>
      </c>
      <c r="U86" s="28">
        <f t="shared" si="32"/>
        <v>5834.3077245695822</v>
      </c>
    </row>
    <row r="87" spans="1:21" ht="16.5" x14ac:dyDescent="0.2">
      <c r="A87" s="17" t="s">
        <v>148</v>
      </c>
      <c r="B87" s="18">
        <v>1014.7025585539527</v>
      </c>
      <c r="C87" s="18">
        <v>1006.5254571566996</v>
      </c>
      <c r="D87" s="18">
        <v>947.59080786605557</v>
      </c>
      <c r="E87" s="18">
        <v>1080.2490778051247</v>
      </c>
      <c r="F87" s="18">
        <v>942.04685760495204</v>
      </c>
      <c r="G87" s="18">
        <v>950.59397554516192</v>
      </c>
      <c r="H87" s="18">
        <v>846.28033345565188</v>
      </c>
      <c r="I87" s="18">
        <v>976.03468498291795</v>
      </c>
      <c r="J87" s="18">
        <v>890.01946342212216</v>
      </c>
      <c r="K87" s="18">
        <v>886.89077763618241</v>
      </c>
      <c r="L87" s="18">
        <v>842.4003547305158</v>
      </c>
      <c r="M87" s="18">
        <v>967.8718122418959</v>
      </c>
      <c r="N87" s="18">
        <v>907.80812834801441</v>
      </c>
      <c r="O87" s="18">
        <v>926.83331072330839</v>
      </c>
      <c r="P87" s="18">
        <v>904.94270401191056</v>
      </c>
      <c r="Q87" s="18">
        <v>1045.0878108974691</v>
      </c>
      <c r="R87" s="18">
        <v>1003.3028050658048</v>
      </c>
      <c r="S87" s="18">
        <v>1001.5473613949463</v>
      </c>
      <c r="T87" s="18">
        <v>951.92348113457206</v>
      </c>
      <c r="U87" s="18">
        <v>1099.7318902789762</v>
      </c>
    </row>
    <row r="88" spans="1:21" ht="16.5" x14ac:dyDescent="0.2">
      <c r="A88" s="17" t="s">
        <v>149</v>
      </c>
      <c r="B88" s="18">
        <v>8468.3741570575548</v>
      </c>
      <c r="C88" s="18">
        <v>9279.1534408135194</v>
      </c>
      <c r="D88" s="18">
        <v>9247.9194862194017</v>
      </c>
      <c r="E88" s="18">
        <v>5899.5074841119986</v>
      </c>
      <c r="F88" s="18">
        <v>8480.7615170834433</v>
      </c>
      <c r="G88" s="18">
        <v>8144.3267225702939</v>
      </c>
      <c r="H88" s="18">
        <v>8825.3366762873375</v>
      </c>
      <c r="I88" s="18">
        <v>8589.6198634127559</v>
      </c>
      <c r="J88" s="18">
        <v>10141.800521834819</v>
      </c>
      <c r="K88" s="18">
        <v>11144.040822277326</v>
      </c>
      <c r="L88" s="18">
        <v>10815.315555316598</v>
      </c>
      <c r="M88" s="18">
        <v>10209.72675674856</v>
      </c>
      <c r="N88" s="18">
        <v>11954.440734968961</v>
      </c>
      <c r="O88" s="18">
        <v>11238.836994593605</v>
      </c>
      <c r="P88" s="18">
        <v>11934.537014576277</v>
      </c>
      <c r="Q88" s="18">
        <v>11906.579861699081</v>
      </c>
      <c r="R88" s="18">
        <v>11996.98220487499</v>
      </c>
      <c r="S88" s="18">
        <v>11688.128713910077</v>
      </c>
      <c r="T88" s="18">
        <v>12467.407698103336</v>
      </c>
      <c r="U88" s="18">
        <v>11114.495397639597</v>
      </c>
    </row>
    <row r="89" spans="1:21" ht="16.5" x14ac:dyDescent="0.2">
      <c r="A89" s="35" t="s">
        <v>150</v>
      </c>
      <c r="B89" s="36">
        <v>79344.994714993227</v>
      </c>
      <c r="C89" s="36">
        <v>85703.117042904472</v>
      </c>
      <c r="D89" s="36">
        <v>86465.575970109552</v>
      </c>
      <c r="E89" s="36">
        <v>91877.458348628701</v>
      </c>
      <c r="F89" s="36">
        <v>100439.21986594981</v>
      </c>
      <c r="G89" s="36"/>
      <c r="H89" s="36"/>
      <c r="I89" s="36"/>
      <c r="J89" s="36"/>
      <c r="K89" s="36"/>
      <c r="L89" s="36"/>
      <c r="M89" s="36"/>
      <c r="N89" s="36"/>
      <c r="O89" s="36"/>
      <c r="P89" s="36"/>
      <c r="Q89" s="36"/>
      <c r="R89" s="36"/>
      <c r="S89" s="36"/>
      <c r="T89" s="36"/>
      <c r="U89" s="36"/>
    </row>
    <row r="90" spans="1:21" ht="16.5" x14ac:dyDescent="0.2">
      <c r="A90" s="38" t="s">
        <v>151</v>
      </c>
      <c r="B90" s="40">
        <f>+SUM(B65,B78,B66,B82,B86:B88,B89)</f>
        <v>287456.31216644065</v>
      </c>
      <c r="C90" s="40">
        <f t="shared" ref="C90:U90" si="33">+SUM(C65,C78,C66,C82,C86:C88,C89)</f>
        <v>301716.62566605891</v>
      </c>
      <c r="D90" s="40">
        <f t="shared" si="33"/>
        <v>307302.39790498652</v>
      </c>
      <c r="E90" s="40">
        <f t="shared" si="33"/>
        <v>313304.34542111715</v>
      </c>
      <c r="F90" s="40">
        <f t="shared" si="33"/>
        <v>327432.27831678494</v>
      </c>
      <c r="G90" s="40">
        <f t="shared" si="33"/>
        <v>231523.53582364795</v>
      </c>
      <c r="H90" s="40">
        <f t="shared" si="33"/>
        <v>245961.48367959031</v>
      </c>
      <c r="I90" s="40">
        <f t="shared" si="33"/>
        <v>254758.11019056634</v>
      </c>
      <c r="J90" s="40">
        <f t="shared" si="33"/>
        <v>264769.57637531083</v>
      </c>
      <c r="K90" s="40">
        <f t="shared" si="33"/>
        <v>268651.11070670595</v>
      </c>
      <c r="L90" s="40">
        <f t="shared" si="33"/>
        <v>267299.55724060419</v>
      </c>
      <c r="M90" s="40">
        <f t="shared" si="33"/>
        <v>267978.12443244521</v>
      </c>
      <c r="N90" s="40">
        <f t="shared" si="33"/>
        <v>269661.18034255703</v>
      </c>
      <c r="O90" s="40">
        <f t="shared" si="33"/>
        <v>275815.95779883565</v>
      </c>
      <c r="P90" s="40">
        <f t="shared" si="33"/>
        <v>284936.35399057891</v>
      </c>
      <c r="Q90" s="40">
        <f t="shared" si="33"/>
        <v>287824.87703461805</v>
      </c>
      <c r="R90" s="40">
        <f t="shared" si="33"/>
        <v>294696.46511663165</v>
      </c>
      <c r="S90" s="40">
        <f t="shared" si="33"/>
        <v>297217.65155235329</v>
      </c>
      <c r="T90" s="40">
        <f t="shared" si="33"/>
        <v>302048.21607057552</v>
      </c>
      <c r="U90" s="40">
        <f t="shared" si="33"/>
        <v>309204.83050365467</v>
      </c>
    </row>
    <row r="91" spans="1:21" ht="5.25" customHeight="1" x14ac:dyDescent="0.2">
      <c r="A91" s="7"/>
      <c r="B91" s="41"/>
      <c r="C91" s="41"/>
      <c r="D91" s="41"/>
      <c r="E91" s="41"/>
      <c r="F91" s="41"/>
      <c r="G91" s="41"/>
      <c r="H91" s="41"/>
      <c r="I91" s="41"/>
      <c r="J91" s="41"/>
      <c r="K91" s="41"/>
      <c r="L91" s="41"/>
      <c r="M91" s="41"/>
      <c r="N91" s="41"/>
      <c r="O91" s="41"/>
      <c r="P91" s="41"/>
      <c r="Q91" s="41"/>
      <c r="R91" s="41"/>
      <c r="S91" s="41"/>
      <c r="T91" s="41"/>
      <c r="U91" s="41"/>
    </row>
    <row r="92" spans="1:21" ht="16.5" x14ac:dyDescent="0.2">
      <c r="A92" s="27" t="s">
        <v>152</v>
      </c>
      <c r="B92" s="28">
        <v>20657.298496424653</v>
      </c>
      <c r="C92" s="28">
        <v>20376.027844420467</v>
      </c>
      <c r="D92" s="28">
        <v>21455.824411361926</v>
      </c>
      <c r="E92" s="28">
        <v>22338.843294868308</v>
      </c>
      <c r="F92" s="28">
        <v>23013.6530603184</v>
      </c>
      <c r="G92" s="28">
        <v>16230.297167972207</v>
      </c>
      <c r="H92" s="28">
        <v>16419.963844239122</v>
      </c>
      <c r="I92" s="28">
        <v>16766.54210239766</v>
      </c>
      <c r="J92" s="28">
        <v>16466.970003078492</v>
      </c>
      <c r="K92" s="28">
        <v>16175.69986277611</v>
      </c>
      <c r="L92" s="28">
        <v>16465.44637921741</v>
      </c>
      <c r="M92" s="28">
        <v>16381.584568720609</v>
      </c>
      <c r="N92" s="28">
        <v>16782.671344642935</v>
      </c>
      <c r="O92" s="28">
        <v>16452.165516115641</v>
      </c>
      <c r="P92" s="28">
        <v>16719.844240575319</v>
      </c>
      <c r="Q92" s="28">
        <v>17386.499279120981</v>
      </c>
      <c r="R92" s="28">
        <v>17451.25716364479</v>
      </c>
      <c r="S92" s="28">
        <v>17172.882925060789</v>
      </c>
      <c r="T92" s="28">
        <v>17759.512140138235</v>
      </c>
      <c r="U92" s="28">
        <v>18411.190790086901</v>
      </c>
    </row>
    <row r="93" spans="1:21" ht="16.5" x14ac:dyDescent="0.2">
      <c r="A93" s="17" t="s">
        <v>27</v>
      </c>
      <c r="B93" s="18">
        <v>14782.259431837618</v>
      </c>
      <c r="C93" s="18">
        <v>14818.932551670658</v>
      </c>
      <c r="D93" s="18">
        <v>15493.573957201996</v>
      </c>
      <c r="E93" s="18">
        <v>16061.973932805466</v>
      </c>
      <c r="F93" s="18">
        <v>16457.993606657117</v>
      </c>
      <c r="G93" s="18">
        <v>13370.28168430398</v>
      </c>
      <c r="H93" s="18">
        <v>13729.593644230525</v>
      </c>
      <c r="I93" s="18">
        <v>14371.575001345886</v>
      </c>
      <c r="J93" s="18">
        <v>14354.689185499417</v>
      </c>
      <c r="K93" s="18">
        <v>14051.349423069429</v>
      </c>
      <c r="L93" s="18">
        <v>14296.569436054357</v>
      </c>
      <c r="M93" s="18">
        <v>14372.775624318683</v>
      </c>
      <c r="N93" s="18">
        <v>14737.744472822558</v>
      </c>
      <c r="O93" s="18">
        <v>14623.871384238331</v>
      </c>
      <c r="P93" s="18">
        <v>14959.377910083553</v>
      </c>
      <c r="Q93" s="18">
        <v>15404.255126239606</v>
      </c>
      <c r="R93" s="18">
        <v>15711.660825054038</v>
      </c>
      <c r="S93" s="18">
        <v>15459.706231393513</v>
      </c>
      <c r="T93" s="18">
        <v>15890.715168879817</v>
      </c>
      <c r="U93" s="18">
        <v>16224.77552387397</v>
      </c>
    </row>
    <row r="94" spans="1:21" ht="16.5" x14ac:dyDescent="0.2">
      <c r="A94" s="38" t="s">
        <v>153</v>
      </c>
      <c r="B94" s="40">
        <f t="shared" ref="B94:U94" si="34">+B92+B93</f>
        <v>35439.557928262271</v>
      </c>
      <c r="C94" s="39">
        <f t="shared" si="34"/>
        <v>35194.960396091126</v>
      </c>
      <c r="D94" s="40">
        <f t="shared" si="34"/>
        <v>36949.398368563925</v>
      </c>
      <c r="E94" s="40">
        <f t="shared" si="34"/>
        <v>38400.817227673775</v>
      </c>
      <c r="F94" s="40">
        <f t="shared" si="34"/>
        <v>39471.646666975517</v>
      </c>
      <c r="G94" s="40">
        <f t="shared" si="34"/>
        <v>29600.578852276187</v>
      </c>
      <c r="H94" s="40">
        <f t="shared" si="34"/>
        <v>30149.557488469647</v>
      </c>
      <c r="I94" s="40">
        <f t="shared" si="34"/>
        <v>31138.117103743545</v>
      </c>
      <c r="J94" s="40">
        <f t="shared" si="34"/>
        <v>30821.659188577909</v>
      </c>
      <c r="K94" s="40">
        <f t="shared" si="34"/>
        <v>30227.04928584554</v>
      </c>
      <c r="L94" s="40">
        <f t="shared" si="34"/>
        <v>30762.015815271767</v>
      </c>
      <c r="M94" s="40">
        <f t="shared" si="34"/>
        <v>30754.360193039291</v>
      </c>
      <c r="N94" s="40">
        <f t="shared" si="34"/>
        <v>31520.415817465495</v>
      </c>
      <c r="O94" s="40">
        <f t="shared" si="34"/>
        <v>31076.036900353974</v>
      </c>
      <c r="P94" s="40">
        <f t="shared" si="34"/>
        <v>31679.222150658872</v>
      </c>
      <c r="Q94" s="40">
        <f t="shared" si="34"/>
        <v>32790.754405360589</v>
      </c>
      <c r="R94" s="40">
        <f t="shared" si="34"/>
        <v>33162.917988698828</v>
      </c>
      <c r="S94" s="40">
        <f t="shared" si="34"/>
        <v>32632.589156454302</v>
      </c>
      <c r="T94" s="40">
        <f t="shared" si="34"/>
        <v>33650.227309018053</v>
      </c>
      <c r="U94" s="40">
        <f t="shared" si="34"/>
        <v>34635.966313960875</v>
      </c>
    </row>
    <row r="95" spans="1:21" ht="5.25" customHeight="1" x14ac:dyDescent="0.2">
      <c r="A95" s="43"/>
      <c r="B95" s="41"/>
      <c r="C95" s="41"/>
      <c r="D95" s="41"/>
      <c r="E95" s="41"/>
      <c r="F95" s="41"/>
      <c r="G95" s="41"/>
      <c r="H95" s="41"/>
      <c r="I95" s="41"/>
      <c r="J95" s="41"/>
      <c r="K95" s="41"/>
      <c r="L95" s="41"/>
      <c r="M95" s="41"/>
      <c r="N95" s="41"/>
      <c r="O95" s="41"/>
      <c r="P95" s="41"/>
      <c r="Q95" s="41"/>
      <c r="R95" s="41"/>
      <c r="S95" s="41"/>
      <c r="T95" s="41"/>
      <c r="U95" s="41"/>
    </row>
    <row r="96" spans="1:21" ht="16.5" x14ac:dyDescent="0.2">
      <c r="A96" s="38" t="s">
        <v>154</v>
      </c>
      <c r="B96" s="40">
        <f t="shared" ref="B96:U96" si="35">+B90+B94</f>
        <v>322895.87009470293</v>
      </c>
      <c r="C96" s="40">
        <f t="shared" si="35"/>
        <v>336911.58606215002</v>
      </c>
      <c r="D96" s="40">
        <f t="shared" si="35"/>
        <v>344251.79627355043</v>
      </c>
      <c r="E96" s="40">
        <f t="shared" si="35"/>
        <v>351705.16264879092</v>
      </c>
      <c r="F96" s="40">
        <f t="shared" si="35"/>
        <v>366903.92498376046</v>
      </c>
      <c r="G96" s="40">
        <f t="shared" si="35"/>
        <v>261124.11467592412</v>
      </c>
      <c r="H96" s="40">
        <f t="shared" si="35"/>
        <v>276111.04116805998</v>
      </c>
      <c r="I96" s="40">
        <f t="shared" si="35"/>
        <v>285896.22729430988</v>
      </c>
      <c r="J96" s="40">
        <f t="shared" si="35"/>
        <v>295591.23556388874</v>
      </c>
      <c r="K96" s="40">
        <f t="shared" si="35"/>
        <v>298878.15999255149</v>
      </c>
      <c r="L96" s="40">
        <f t="shared" si="35"/>
        <v>298061.57305587595</v>
      </c>
      <c r="M96" s="40">
        <f t="shared" si="35"/>
        <v>298732.4846254845</v>
      </c>
      <c r="N96" s="40">
        <f t="shared" si="35"/>
        <v>301181.59616002254</v>
      </c>
      <c r="O96" s="40">
        <f t="shared" si="35"/>
        <v>306891.99469918961</v>
      </c>
      <c r="P96" s="40">
        <f t="shared" si="35"/>
        <v>316615.57614123781</v>
      </c>
      <c r="Q96" s="40">
        <f t="shared" si="35"/>
        <v>320615.63143997866</v>
      </c>
      <c r="R96" s="40">
        <f t="shared" si="35"/>
        <v>327859.38310533046</v>
      </c>
      <c r="S96" s="40">
        <f t="shared" si="35"/>
        <v>329850.2407088076</v>
      </c>
      <c r="T96" s="40">
        <f t="shared" si="35"/>
        <v>335698.44337959355</v>
      </c>
      <c r="U96" s="40">
        <f t="shared" si="35"/>
        <v>343840.79681761551</v>
      </c>
    </row>
    <row r="97" spans="1:21" ht="16.5" x14ac:dyDescent="0.2">
      <c r="A97" s="44"/>
      <c r="B97" s="45"/>
      <c r="C97" s="45"/>
      <c r="D97" s="45"/>
      <c r="E97" s="45"/>
      <c r="F97" s="45"/>
      <c r="G97" s="45"/>
      <c r="H97" s="45"/>
      <c r="I97" s="45"/>
      <c r="J97" s="45"/>
      <c r="K97" s="45"/>
      <c r="L97" s="45"/>
      <c r="M97" s="45"/>
      <c r="N97" s="45"/>
      <c r="O97" s="45"/>
      <c r="P97" s="45"/>
      <c r="Q97" s="45"/>
      <c r="R97" s="45"/>
      <c r="S97" s="45"/>
      <c r="T97" s="45"/>
      <c r="U97" s="45"/>
    </row>
    <row r="98" spans="1:21" ht="20.25" x14ac:dyDescent="0.2">
      <c r="A98" s="1" t="s">
        <v>0</v>
      </c>
      <c r="B98" s="7"/>
      <c r="C98" s="7"/>
      <c r="D98" s="7"/>
      <c r="E98" s="7"/>
      <c r="F98" s="7"/>
      <c r="G98" s="7"/>
      <c r="H98" s="7"/>
      <c r="I98" s="7"/>
      <c r="J98" s="7"/>
      <c r="K98" s="7"/>
      <c r="L98" s="7"/>
      <c r="M98" s="7"/>
      <c r="N98" s="7"/>
      <c r="O98" s="7"/>
      <c r="P98" s="7"/>
      <c r="Q98" s="7"/>
      <c r="R98" s="7"/>
      <c r="S98" s="7"/>
      <c r="T98" s="7"/>
      <c r="U98" s="7"/>
    </row>
    <row r="99" spans="1:21" ht="20.25" x14ac:dyDescent="0.2">
      <c r="A99" s="1" t="s">
        <v>1</v>
      </c>
      <c r="B99" s="7"/>
      <c r="C99" s="7"/>
      <c r="D99" s="7"/>
      <c r="E99" s="7"/>
      <c r="F99" s="7"/>
      <c r="G99" s="7"/>
      <c r="H99" s="7"/>
      <c r="I99" s="7"/>
      <c r="J99" s="7"/>
      <c r="K99" s="7"/>
      <c r="L99" s="7"/>
      <c r="M99" s="7"/>
      <c r="N99" s="7"/>
      <c r="O99" s="7"/>
      <c r="P99" s="7"/>
      <c r="Q99" s="7"/>
      <c r="R99" s="7"/>
      <c r="S99" s="7"/>
      <c r="T99" s="7"/>
      <c r="U99" s="7"/>
    </row>
    <row r="100" spans="1:21" ht="20.25" x14ac:dyDescent="0.2">
      <c r="A100" s="1" t="s">
        <v>2</v>
      </c>
      <c r="B100" s="7"/>
      <c r="C100" s="2"/>
      <c r="D100" s="2"/>
      <c r="E100" s="2"/>
      <c r="F100" s="2"/>
      <c r="G100" s="7"/>
      <c r="H100" s="7"/>
      <c r="I100" s="7"/>
      <c r="J100" s="7"/>
      <c r="K100" s="7"/>
      <c r="L100" s="7"/>
      <c r="M100" s="7"/>
      <c r="N100" s="7"/>
      <c r="O100" s="7"/>
      <c r="P100" s="7"/>
      <c r="Q100" s="7"/>
      <c r="R100" s="7"/>
      <c r="S100" s="7"/>
      <c r="T100" s="7"/>
      <c r="U100" s="7"/>
    </row>
    <row r="101" spans="1:21" ht="18.75" x14ac:dyDescent="0.2">
      <c r="A101" s="4" t="s">
        <v>3</v>
      </c>
      <c r="B101" s="7"/>
      <c r="C101" s="7"/>
      <c r="D101" s="7"/>
      <c r="E101" s="7"/>
      <c r="F101" s="7"/>
      <c r="G101" s="7"/>
      <c r="H101" s="7"/>
      <c r="I101" s="7"/>
      <c r="J101" s="7"/>
      <c r="K101" s="7"/>
      <c r="L101" s="7"/>
      <c r="M101" s="7"/>
      <c r="N101" s="7"/>
      <c r="O101" s="7"/>
      <c r="P101" s="7"/>
      <c r="Q101" s="7"/>
      <c r="R101" s="7"/>
      <c r="S101" s="7"/>
      <c r="T101" s="7"/>
      <c r="U101" s="7"/>
    </row>
    <row r="102" spans="1:21" ht="17.25" customHeight="1" x14ac:dyDescent="0.2">
      <c r="A102" s="93" t="s">
        <v>15</v>
      </c>
      <c r="B102" s="7"/>
      <c r="C102" s="92" t="str">
        <f>+C11</f>
        <v>Pro forma
 1Q21</v>
      </c>
      <c r="D102" s="92" t="str">
        <f>+D11</f>
        <v>Pro forma
 2Q21</v>
      </c>
      <c r="E102" s="92" t="str">
        <f>+E11</f>
        <v>Pro forma
 3Q21</v>
      </c>
      <c r="F102" s="92" t="str">
        <f>+F11</f>
        <v>Pro forma
 4Q21</v>
      </c>
      <c r="G102" s="91" t="str">
        <f>+G11</f>
        <v>1Q22</v>
      </c>
      <c r="H102" s="91" t="str">
        <f>+H11</f>
        <v>2Q22</v>
      </c>
      <c r="I102" s="91" t="str">
        <f>+I11</f>
        <v>3Q22</v>
      </c>
      <c r="J102" s="91" t="str">
        <f>+J11</f>
        <v>4Q22</v>
      </c>
      <c r="K102" s="91" t="str">
        <f>+K11</f>
        <v>1Q23</v>
      </c>
      <c r="L102" s="91" t="str">
        <f>+L11</f>
        <v>2Q23</v>
      </c>
      <c r="M102" s="91" t="str">
        <f>+M11</f>
        <v>3Q23</v>
      </c>
      <c r="N102" s="91" t="str">
        <f>+N11</f>
        <v>4Q23</v>
      </c>
      <c r="O102" s="91" t="str">
        <f>+O11</f>
        <v>1Q24</v>
      </c>
      <c r="P102" s="91" t="str">
        <f>+P11</f>
        <v>2Q24</v>
      </c>
      <c r="Q102" s="91" t="str">
        <f>+Q11</f>
        <v>3Q24</v>
      </c>
      <c r="R102" s="91" t="str">
        <f>+R11</f>
        <v>4Q24</v>
      </c>
      <c r="S102" s="91" t="str">
        <f>+S11</f>
        <v>1Q25</v>
      </c>
      <c r="T102" s="91" t="str">
        <f>+T11</f>
        <v>2Q25</v>
      </c>
      <c r="U102" s="91" t="str">
        <f>+U11</f>
        <v>3Q25</v>
      </c>
    </row>
    <row r="103" spans="1:21" ht="17.25" customHeight="1" x14ac:dyDescent="0.2">
      <c r="A103" s="93"/>
      <c r="B103" s="7"/>
      <c r="C103" s="92"/>
      <c r="D103" s="92"/>
      <c r="E103" s="92"/>
      <c r="F103" s="92"/>
      <c r="G103" s="91"/>
      <c r="H103" s="91"/>
      <c r="I103" s="91"/>
      <c r="J103" s="91"/>
      <c r="K103" s="91"/>
      <c r="L103" s="91"/>
      <c r="M103" s="91"/>
      <c r="N103" s="91"/>
      <c r="O103" s="91"/>
      <c r="P103" s="91"/>
      <c r="Q103" s="91"/>
      <c r="R103" s="91"/>
      <c r="S103" s="91"/>
      <c r="T103" s="91"/>
      <c r="U103" s="91"/>
    </row>
    <row r="104" spans="1:21" ht="16.5" x14ac:dyDescent="0.2">
      <c r="A104" s="10" t="s">
        <v>155</v>
      </c>
      <c r="B104" s="7"/>
      <c r="C104" s="7"/>
      <c r="D104" s="7"/>
      <c r="E104" s="7"/>
      <c r="F104" s="7"/>
      <c r="G104" s="7"/>
      <c r="H104" s="7"/>
      <c r="I104" s="7"/>
      <c r="J104" s="7"/>
      <c r="K104" s="7"/>
      <c r="L104" s="7"/>
      <c r="M104" s="7"/>
      <c r="N104" s="7"/>
      <c r="O104" s="7"/>
      <c r="P104" s="7"/>
      <c r="Q104" s="7"/>
      <c r="R104" s="7"/>
      <c r="S104" s="7"/>
      <c r="T104" s="7"/>
      <c r="U104" s="7"/>
    </row>
    <row r="105" spans="1:21" ht="16.5" x14ac:dyDescent="0.2">
      <c r="A105" s="46" t="s">
        <v>80</v>
      </c>
      <c r="B105" s="7"/>
      <c r="C105" s="25">
        <v>2917.8501821284335</v>
      </c>
      <c r="D105" s="14">
        <v>2908.067333340332</v>
      </c>
      <c r="E105" s="14">
        <v>2968.406553678868</v>
      </c>
      <c r="F105" s="14">
        <v>3087.8204448731472</v>
      </c>
      <c r="G105" s="14">
        <v>3379.7903481892104</v>
      </c>
      <c r="H105" s="14">
        <v>3883.1791917426149</v>
      </c>
      <c r="I105" s="14">
        <v>4730.0151194129603</v>
      </c>
      <c r="J105" s="14">
        <v>5566.5313147735778</v>
      </c>
      <c r="K105" s="14">
        <v>6361.4009464441187</v>
      </c>
      <c r="L105" s="14">
        <v>6574.8543897352201</v>
      </c>
      <c r="M105" s="14">
        <v>6752.9126003647616</v>
      </c>
      <c r="N105" s="14">
        <v>6844.9472974045166</v>
      </c>
      <c r="O105" s="14">
        <v>6593.4495543822422</v>
      </c>
      <c r="P105" s="14">
        <v>6445.2253183652329</v>
      </c>
      <c r="Q105" s="14">
        <v>6318.0243636109117</v>
      </c>
      <c r="R105" s="14">
        <v>6108.8828561921464</v>
      </c>
      <c r="S105" s="14">
        <v>5938.0677801988149</v>
      </c>
      <c r="T105" s="25">
        <v>5977.8583601522405</v>
      </c>
      <c r="U105" s="25">
        <v>6010.8976263865534</v>
      </c>
    </row>
    <row r="106" spans="1:21" ht="16.5" x14ac:dyDescent="0.2">
      <c r="A106" s="46" t="s">
        <v>16</v>
      </c>
      <c r="B106" s="7"/>
      <c r="C106" s="25">
        <v>1160.5626445184678</v>
      </c>
      <c r="D106" s="14">
        <v>1140.1870305635903</v>
      </c>
      <c r="E106" s="14">
        <v>1170.2141185571193</v>
      </c>
      <c r="F106" s="14">
        <v>1227.599792532322</v>
      </c>
      <c r="G106" s="14">
        <v>1456.8757506613558</v>
      </c>
      <c r="H106" s="14">
        <v>1824.8289865600079</v>
      </c>
      <c r="I106" s="14">
        <v>2399.64097930348</v>
      </c>
      <c r="J106" s="14">
        <v>2927.2457792432297</v>
      </c>
      <c r="K106" s="14">
        <v>3382.055862132433</v>
      </c>
      <c r="L106" s="14">
        <v>3623.3338805424114</v>
      </c>
      <c r="M106" s="14">
        <v>3699.4421491293087</v>
      </c>
      <c r="N106" s="14">
        <v>3793.094378812928</v>
      </c>
      <c r="O106" s="14">
        <v>3600.0685523436709</v>
      </c>
      <c r="P106" s="14">
        <v>3465.2148095513226</v>
      </c>
      <c r="Q106" s="14">
        <v>3331.3207198183404</v>
      </c>
      <c r="R106" s="14">
        <v>3175.5790778482333</v>
      </c>
      <c r="S106" s="14">
        <v>3030.9641058028137</v>
      </c>
      <c r="T106" s="14">
        <v>2989.9635953569691</v>
      </c>
      <c r="U106" s="25">
        <v>3006.0238568469731</v>
      </c>
    </row>
    <row r="107" spans="1:21" ht="16.5" x14ac:dyDescent="0.2">
      <c r="A107" s="46" t="s">
        <v>17</v>
      </c>
      <c r="B107" s="7"/>
      <c r="C107" s="25">
        <v>1437.8395256792712</v>
      </c>
      <c r="D107" s="14">
        <v>1460.2971307871012</v>
      </c>
      <c r="E107" s="14">
        <v>1474.8470922465212</v>
      </c>
      <c r="F107" s="14">
        <v>1517.707782638181</v>
      </c>
      <c r="G107" s="14">
        <v>1559.7548580479904</v>
      </c>
      <c r="H107" s="14">
        <v>1653.028155869215</v>
      </c>
      <c r="I107" s="14">
        <v>1819.4776302813668</v>
      </c>
      <c r="J107" s="14">
        <v>2016.486423293856</v>
      </c>
      <c r="K107" s="14">
        <v>2178.5934640617552</v>
      </c>
      <c r="L107" s="14">
        <v>2268.9473610883442</v>
      </c>
      <c r="M107" s="14">
        <v>2380.3784372231635</v>
      </c>
      <c r="N107" s="14">
        <v>2380.5883275901115</v>
      </c>
      <c r="O107" s="14">
        <v>2335.7937676702209</v>
      </c>
      <c r="P107" s="14">
        <v>2276.8075051975015</v>
      </c>
      <c r="Q107" s="14">
        <v>2277.9127627127618</v>
      </c>
      <c r="R107" s="14">
        <v>2237.1458448735325</v>
      </c>
      <c r="S107" s="14">
        <v>2218.3124237525271</v>
      </c>
      <c r="T107" s="14">
        <v>2265.2717641672693</v>
      </c>
      <c r="U107" s="25">
        <v>2289.046930334132</v>
      </c>
    </row>
    <row r="108" spans="1:21" ht="16.5" x14ac:dyDescent="0.2">
      <c r="A108" s="46" t="s">
        <v>18</v>
      </c>
      <c r="B108" s="7"/>
      <c r="C108" s="25">
        <v>21.768488955110893</v>
      </c>
      <c r="D108" s="14">
        <v>20.501695288510003</v>
      </c>
      <c r="E108" s="14">
        <v>18.346618371159988</v>
      </c>
      <c r="F108" s="14">
        <v>17.262958607999973</v>
      </c>
      <c r="G108" s="14">
        <v>16.625728934999998</v>
      </c>
      <c r="H108" s="14">
        <v>15.881807152999999</v>
      </c>
      <c r="I108" s="14">
        <v>15.711649023000001</v>
      </c>
      <c r="J108" s="14">
        <v>16.363309385000001</v>
      </c>
      <c r="K108" s="14">
        <v>17.303790164999999</v>
      </c>
      <c r="L108" s="14">
        <v>17.524076984000001</v>
      </c>
      <c r="M108" s="14">
        <v>18.118849397999998</v>
      </c>
      <c r="N108" s="14">
        <v>18.405540233</v>
      </c>
      <c r="O108" s="14">
        <v>19.437634282999998</v>
      </c>
      <c r="P108" s="14">
        <v>18.273606504999997</v>
      </c>
      <c r="Q108" s="14">
        <v>10.952702958000001</v>
      </c>
      <c r="R108" s="14">
        <v>4.5668646999998598E-2</v>
      </c>
      <c r="S108" s="14">
        <v>0.11878810099999999</v>
      </c>
      <c r="T108" s="14">
        <v>8.0877590999999985E-2</v>
      </c>
      <c r="U108" s="14">
        <v>3.0546385000000016E-2</v>
      </c>
    </row>
    <row r="109" spans="1:21" ht="16.5" x14ac:dyDescent="0.2">
      <c r="A109" s="46" t="s">
        <v>19</v>
      </c>
      <c r="B109" s="7"/>
      <c r="C109" s="25">
        <v>257.75206178357104</v>
      </c>
      <c r="D109" s="14">
        <v>267.32004762157146</v>
      </c>
      <c r="E109" s="14">
        <v>271.8525743330639</v>
      </c>
      <c r="F109" s="14">
        <v>283.09693632801333</v>
      </c>
      <c r="G109" s="14">
        <v>277.95829621950918</v>
      </c>
      <c r="H109" s="14">
        <v>335.46231434355218</v>
      </c>
      <c r="I109" s="14">
        <v>352.67115129261941</v>
      </c>
      <c r="J109" s="14">
        <v>383.8057064388434</v>
      </c>
      <c r="K109" s="14">
        <v>408.43080989092994</v>
      </c>
      <c r="L109" s="14">
        <v>412.44962520103576</v>
      </c>
      <c r="M109" s="14">
        <v>420.79813078751215</v>
      </c>
      <c r="N109" s="14">
        <v>446.28354022462901</v>
      </c>
      <c r="O109" s="14">
        <v>468.52391971850437</v>
      </c>
      <c r="P109" s="14">
        <v>473.92115256109349</v>
      </c>
      <c r="Q109" s="14">
        <v>491.84480259850829</v>
      </c>
      <c r="R109" s="14">
        <v>513.52220272459738</v>
      </c>
      <c r="S109" s="14">
        <v>548.86716086692991</v>
      </c>
      <c r="T109" s="14">
        <v>562.19659401400668</v>
      </c>
      <c r="U109" s="25">
        <v>579.96806477700545</v>
      </c>
    </row>
    <row r="110" spans="1:21" ht="16.5" x14ac:dyDescent="0.2">
      <c r="A110" s="46" t="s">
        <v>20</v>
      </c>
      <c r="B110" s="7"/>
      <c r="C110" s="25">
        <v>39.92746119201221</v>
      </c>
      <c r="D110" s="14">
        <v>19.761429079558752</v>
      </c>
      <c r="E110" s="14">
        <v>33.146150171003789</v>
      </c>
      <c r="F110" s="14">
        <v>42.15297476663072</v>
      </c>
      <c r="G110" s="14">
        <v>68.575714325355023</v>
      </c>
      <c r="H110" s="14">
        <v>53.977927816839625</v>
      </c>
      <c r="I110" s="14">
        <v>142.5137095124939</v>
      </c>
      <c r="J110" s="14">
        <v>222.63009641264892</v>
      </c>
      <c r="K110" s="14">
        <v>375.01702019400165</v>
      </c>
      <c r="L110" s="14">
        <v>252.59944591942761</v>
      </c>
      <c r="M110" s="14">
        <v>234.17503382677631</v>
      </c>
      <c r="N110" s="14">
        <v>206.57551054384746</v>
      </c>
      <c r="O110" s="14">
        <v>169.62568036684701</v>
      </c>
      <c r="P110" s="14">
        <v>211.00824455031574</v>
      </c>
      <c r="Q110" s="14">
        <v>205.99337552330189</v>
      </c>
      <c r="R110" s="14">
        <v>182.59006209878345</v>
      </c>
      <c r="S110" s="14">
        <v>139.80530167554451</v>
      </c>
      <c r="T110" s="25">
        <v>160.34552902299569</v>
      </c>
      <c r="U110" s="25">
        <v>135.82822804344144</v>
      </c>
    </row>
    <row r="111" spans="1:21" ht="16.5" x14ac:dyDescent="0.2">
      <c r="A111" s="46" t="s">
        <v>88</v>
      </c>
      <c r="B111" s="7"/>
      <c r="C111" s="14">
        <v>193.9488178715668</v>
      </c>
      <c r="D111" s="14">
        <v>236.30427758842299</v>
      </c>
      <c r="E111" s="14">
        <v>246.4728879019182</v>
      </c>
      <c r="F111" s="14">
        <v>232.53825183915544</v>
      </c>
      <c r="G111" s="14">
        <v>380.00085661126246</v>
      </c>
      <c r="H111" s="14">
        <v>403.49443921714214</v>
      </c>
      <c r="I111" s="14">
        <v>482.97813590339734</v>
      </c>
      <c r="J111" s="14">
        <v>577.04259567425959</v>
      </c>
      <c r="K111" s="14">
        <v>646.92279626131176</v>
      </c>
      <c r="L111" s="14">
        <v>579.71838191547431</v>
      </c>
      <c r="M111" s="14">
        <v>581.70241611712891</v>
      </c>
      <c r="N111" s="14">
        <v>576.94558979037936</v>
      </c>
      <c r="O111" s="14">
        <v>642.74243995114114</v>
      </c>
      <c r="P111" s="14">
        <v>793.64937143588554</v>
      </c>
      <c r="Q111" s="14">
        <v>555.9381957071065</v>
      </c>
      <c r="R111" s="14">
        <v>724.01998229680305</v>
      </c>
      <c r="S111" s="14">
        <v>652.92688283011444</v>
      </c>
      <c r="T111" s="14">
        <v>739.23106015255689</v>
      </c>
      <c r="U111" s="25">
        <v>706.11041122203085</v>
      </c>
    </row>
    <row r="112" spans="1:21" ht="16.5" x14ac:dyDescent="0.2">
      <c r="A112" s="47" t="s">
        <v>156</v>
      </c>
      <c r="B112" s="7"/>
      <c r="C112" s="28">
        <f t="shared" ref="C112:U112" si="36">+SUM(C106:C111)</f>
        <v>3111.7990000000004</v>
      </c>
      <c r="D112" s="28">
        <f t="shared" si="36"/>
        <v>3144.3716109287543</v>
      </c>
      <c r="E112" s="28">
        <f t="shared" si="36"/>
        <v>3214.8794415807856</v>
      </c>
      <c r="F112" s="28">
        <f t="shared" si="36"/>
        <v>3320.3586967123024</v>
      </c>
      <c r="G112" s="28">
        <f t="shared" si="36"/>
        <v>3759.7912048004728</v>
      </c>
      <c r="H112" s="28">
        <f t="shared" si="36"/>
        <v>4286.6736309597572</v>
      </c>
      <c r="I112" s="28">
        <f t="shared" si="36"/>
        <v>5212.993255316358</v>
      </c>
      <c r="J112" s="28">
        <f t="shared" si="36"/>
        <v>6143.5739104478371</v>
      </c>
      <c r="K112" s="28">
        <f t="shared" si="36"/>
        <v>7008.3237427054319</v>
      </c>
      <c r="L112" s="28">
        <f t="shared" si="36"/>
        <v>7154.5727716506935</v>
      </c>
      <c r="M112" s="28">
        <f t="shared" si="36"/>
        <v>7334.6150164818901</v>
      </c>
      <c r="N112" s="28">
        <f t="shared" si="36"/>
        <v>7421.8928871948947</v>
      </c>
      <c r="O112" s="28">
        <f t="shared" si="36"/>
        <v>7236.1919943333842</v>
      </c>
      <c r="P112" s="28">
        <f t="shared" si="36"/>
        <v>7238.8746898011195</v>
      </c>
      <c r="Q112" s="28">
        <f t="shared" si="36"/>
        <v>6873.9625593180199</v>
      </c>
      <c r="R112" s="28">
        <f t="shared" si="36"/>
        <v>6832.9028384889489</v>
      </c>
      <c r="S112" s="28">
        <f t="shared" si="36"/>
        <v>6590.9946630289305</v>
      </c>
      <c r="T112" s="28">
        <f t="shared" si="36"/>
        <v>6717.0894203047974</v>
      </c>
      <c r="U112" s="28">
        <f t="shared" si="36"/>
        <v>6717.0080376085825</v>
      </c>
    </row>
    <row r="113" spans="1:21" ht="5.25" customHeight="1" x14ac:dyDescent="0.2">
      <c r="A113" s="48"/>
      <c r="B113" s="7"/>
      <c r="C113" s="41"/>
      <c r="D113" s="41"/>
      <c r="E113" s="41"/>
      <c r="F113" s="41"/>
      <c r="G113" s="41"/>
      <c r="H113" s="41"/>
      <c r="I113" s="41"/>
      <c r="J113" s="41"/>
      <c r="K113" s="41"/>
      <c r="L113" s="41"/>
      <c r="M113" s="41"/>
      <c r="N113" s="41"/>
      <c r="O113" s="41"/>
      <c r="P113" s="41"/>
      <c r="Q113" s="41"/>
      <c r="R113" s="41"/>
      <c r="S113" s="41"/>
      <c r="T113" s="41"/>
      <c r="U113" s="41"/>
    </row>
    <row r="114" spans="1:21" ht="16.5" x14ac:dyDescent="0.2">
      <c r="A114" s="10" t="s">
        <v>157</v>
      </c>
      <c r="B114" s="7"/>
      <c r="C114" s="18"/>
      <c r="D114" s="18"/>
      <c r="E114" s="18"/>
      <c r="F114" s="18"/>
      <c r="G114" s="18"/>
      <c r="H114" s="18"/>
      <c r="I114" s="18"/>
      <c r="J114" s="18"/>
      <c r="K114" s="18"/>
      <c r="L114" s="18"/>
      <c r="M114" s="18"/>
      <c r="N114" s="18"/>
      <c r="O114" s="18"/>
      <c r="P114" s="18"/>
      <c r="Q114" s="18"/>
      <c r="R114" s="18"/>
      <c r="S114" s="18"/>
      <c r="T114" s="18"/>
      <c r="U114" s="18"/>
    </row>
    <row r="115" spans="1:21" ht="16.5" x14ac:dyDescent="0.2">
      <c r="A115" s="46" t="s">
        <v>134</v>
      </c>
      <c r="B115" s="7"/>
      <c r="C115" s="25">
        <v>16.352304143892216</v>
      </c>
      <c r="D115" s="14">
        <v>14.572130947984048</v>
      </c>
      <c r="E115" s="14">
        <v>15.550165378549908</v>
      </c>
      <c r="F115" s="14">
        <v>15.903871947324021</v>
      </c>
      <c r="G115" s="14">
        <v>29.893742957288389</v>
      </c>
      <c r="H115" s="14">
        <v>28.611015918101014</v>
      </c>
      <c r="I115" s="14">
        <v>39.060623687813489</v>
      </c>
      <c r="J115" s="14">
        <v>61.549015618909195</v>
      </c>
      <c r="K115" s="14">
        <v>62.460639097268285</v>
      </c>
      <c r="L115" s="14">
        <v>71.56423861054931</v>
      </c>
      <c r="M115" s="14">
        <v>38.327443631409082</v>
      </c>
      <c r="N115" s="14">
        <v>80.690509871432795</v>
      </c>
      <c r="O115" s="14">
        <v>73.036003094513589</v>
      </c>
      <c r="P115" s="14">
        <v>64.153015654325273</v>
      </c>
      <c r="Q115" s="14">
        <v>63.365025689859813</v>
      </c>
      <c r="R115" s="14">
        <v>60.760618715503576</v>
      </c>
      <c r="S115" s="14">
        <v>58.519630894126614</v>
      </c>
      <c r="T115" s="14">
        <v>58.77779869905735</v>
      </c>
      <c r="U115" s="14">
        <v>61.69976487261664</v>
      </c>
    </row>
    <row r="116" spans="1:21" ht="16.5" x14ac:dyDescent="0.2">
      <c r="A116" s="46" t="s">
        <v>135</v>
      </c>
      <c r="B116" s="7"/>
      <c r="C116" s="25">
        <v>429.08330108408313</v>
      </c>
      <c r="D116" s="14">
        <v>393.42020087999174</v>
      </c>
      <c r="E116" s="14">
        <v>425.4437987812251</v>
      </c>
      <c r="F116" s="14">
        <v>452.18055757984308</v>
      </c>
      <c r="G116" s="14">
        <v>544.20019897206146</v>
      </c>
      <c r="H116" s="14">
        <v>759.70961074537342</v>
      </c>
      <c r="I116" s="14">
        <v>1146.4964822530098</v>
      </c>
      <c r="J116" s="14">
        <v>1591.0672833309652</v>
      </c>
      <c r="K116" s="14">
        <v>2216.3680752841015</v>
      </c>
      <c r="L116" s="14">
        <v>2519.8690303881099</v>
      </c>
      <c r="M116" s="14">
        <v>2663.4530719151285</v>
      </c>
      <c r="N116" s="14">
        <v>2608.0663872247151</v>
      </c>
      <c r="O116" s="14">
        <v>2525.4831194419021</v>
      </c>
      <c r="P116" s="14">
        <v>2424.0623617633692</v>
      </c>
      <c r="Q116" s="14">
        <v>2337.5120515265448</v>
      </c>
      <c r="R116" s="14">
        <v>2211.5931086804644</v>
      </c>
      <c r="S116" s="14">
        <v>2171.7262635277189</v>
      </c>
      <c r="T116" s="14">
        <v>2204.0739857408521</v>
      </c>
      <c r="U116" s="14">
        <v>2253.0784310662134</v>
      </c>
    </row>
    <row r="117" spans="1:21" ht="16.5" x14ac:dyDescent="0.2">
      <c r="A117" s="46" t="s">
        <v>136</v>
      </c>
      <c r="B117" s="7"/>
      <c r="C117" s="25">
        <v>203.65154979107717</v>
      </c>
      <c r="D117" s="14">
        <v>202.80185063661625</v>
      </c>
      <c r="E117" s="14">
        <v>209.52669086812548</v>
      </c>
      <c r="F117" s="14">
        <v>259.45885649078804</v>
      </c>
      <c r="G117" s="14">
        <v>407.9386559253013</v>
      </c>
      <c r="H117" s="14">
        <v>671.84210003158887</v>
      </c>
      <c r="I117" s="14">
        <v>1073.4010138838103</v>
      </c>
      <c r="J117" s="14">
        <v>1402.6618905863102</v>
      </c>
      <c r="K117" s="14">
        <v>1591.7630460147805</v>
      </c>
      <c r="L117" s="14">
        <v>1342.970998083114</v>
      </c>
      <c r="M117" s="14">
        <v>1491.3701392795374</v>
      </c>
      <c r="N117" s="14">
        <v>1527.3217257009567</v>
      </c>
      <c r="O117" s="14">
        <v>1442.4566199118444</v>
      </c>
      <c r="P117" s="14">
        <v>1441.8396252273935</v>
      </c>
      <c r="Q117" s="14">
        <v>1364.8648217774905</v>
      </c>
      <c r="R117" s="14">
        <v>1184.9016493922993</v>
      </c>
      <c r="S117" s="14">
        <v>1108.0813752673935</v>
      </c>
      <c r="T117" s="14">
        <v>1139.0015595712121</v>
      </c>
      <c r="U117" s="14">
        <v>1118.5524292824305</v>
      </c>
    </row>
    <row r="118" spans="1:21" ht="16.5" x14ac:dyDescent="0.2">
      <c r="A118" s="49" t="s">
        <v>158</v>
      </c>
      <c r="B118" s="7"/>
      <c r="C118" s="18">
        <f t="shared" ref="C118:H118" si="37">+SUM(C115:C117)</f>
        <v>649.08715501905249</v>
      </c>
      <c r="D118" s="18">
        <f t="shared" si="37"/>
        <v>610.79418246459204</v>
      </c>
      <c r="E118" s="18">
        <f t="shared" si="37"/>
        <v>650.52065502790049</v>
      </c>
      <c r="F118" s="18">
        <f t="shared" si="37"/>
        <v>727.5432860179551</v>
      </c>
      <c r="G118" s="18">
        <f t="shared" si="37"/>
        <v>982.03259785465116</v>
      </c>
      <c r="H118" s="18">
        <f t="shared" si="37"/>
        <v>1460.1627266950632</v>
      </c>
      <c r="I118" s="18">
        <f t="shared" ref="I118:N118" si="38">+SUM(I115:I117)</f>
        <v>2258.9581198246333</v>
      </c>
      <c r="J118" s="18">
        <f t="shared" si="38"/>
        <v>3055.2781895361845</v>
      </c>
      <c r="K118" s="18">
        <f t="shared" si="38"/>
        <v>3870.5917603961498</v>
      </c>
      <c r="L118" s="18">
        <f t="shared" si="38"/>
        <v>3934.404267081773</v>
      </c>
      <c r="M118" s="18">
        <f t="shared" si="38"/>
        <v>4193.150654826075</v>
      </c>
      <c r="N118" s="18">
        <f t="shared" si="38"/>
        <v>4216.0786227971048</v>
      </c>
      <c r="O118" s="18">
        <f t="shared" ref="O118:U118" si="39">+SUM(O115:O117)</f>
        <v>4040.97574244826</v>
      </c>
      <c r="P118" s="18">
        <f t="shared" si="39"/>
        <v>3930.0550026450883</v>
      </c>
      <c r="Q118" s="18">
        <f t="shared" si="39"/>
        <v>3765.7418989938951</v>
      </c>
      <c r="R118" s="18">
        <f t="shared" si="39"/>
        <v>3457.2553767882673</v>
      </c>
      <c r="S118" s="18">
        <f t="shared" si="39"/>
        <v>3338.3272696892391</v>
      </c>
      <c r="T118" s="18">
        <f t="shared" si="39"/>
        <v>3401.8533440111214</v>
      </c>
      <c r="U118" s="18">
        <f t="shared" si="39"/>
        <v>3433.3306252212606</v>
      </c>
    </row>
    <row r="119" spans="1:21" ht="5.25" customHeight="1" x14ac:dyDescent="0.2">
      <c r="A119" s="49"/>
      <c r="B119" s="7"/>
      <c r="C119" s="41"/>
      <c r="D119" s="41"/>
      <c r="E119" s="41"/>
      <c r="F119" s="41"/>
      <c r="G119" s="41"/>
      <c r="H119" s="41"/>
      <c r="I119" s="41"/>
      <c r="J119" s="41"/>
      <c r="K119" s="41"/>
      <c r="L119" s="41"/>
      <c r="M119" s="41"/>
      <c r="N119" s="41"/>
      <c r="O119" s="41"/>
      <c r="P119" s="41"/>
      <c r="Q119" s="41"/>
      <c r="R119" s="41"/>
      <c r="S119" s="41"/>
      <c r="T119" s="41"/>
      <c r="U119" s="41"/>
    </row>
    <row r="120" spans="1:21" ht="16.5" x14ac:dyDescent="0.2">
      <c r="A120" s="46" t="s">
        <v>139</v>
      </c>
      <c r="B120" s="7"/>
      <c r="C120" s="25">
        <v>24.06927575664637</v>
      </c>
      <c r="D120" s="14">
        <v>39.023384449756946</v>
      </c>
      <c r="E120" s="14">
        <v>38.301678606246384</v>
      </c>
      <c r="F120" s="14">
        <v>61.061263126767315</v>
      </c>
      <c r="G120" s="14">
        <v>76.477839568526463</v>
      </c>
      <c r="H120" s="14">
        <v>121.27013270949597</v>
      </c>
      <c r="I120" s="14">
        <v>171.69036473679716</v>
      </c>
      <c r="J120" s="14">
        <v>308.67589738412715</v>
      </c>
      <c r="K120" s="14">
        <v>395.93024334060169</v>
      </c>
      <c r="L120" s="14">
        <v>494.83842534992783</v>
      </c>
      <c r="M120" s="14">
        <v>415.46638871042092</v>
      </c>
      <c r="N120" s="14">
        <v>550.0276052788771</v>
      </c>
      <c r="O120" s="14">
        <v>487.00403576956711</v>
      </c>
      <c r="P120" s="14">
        <v>340.58949197380616</v>
      </c>
      <c r="Q120" s="14">
        <v>466.99187846112136</v>
      </c>
      <c r="R120" s="14">
        <v>389.35799848100635</v>
      </c>
      <c r="S120" s="14">
        <v>391.11625056619897</v>
      </c>
      <c r="T120" s="14">
        <v>375.74356264926178</v>
      </c>
      <c r="U120" s="14">
        <v>519.78338881502293</v>
      </c>
    </row>
    <row r="121" spans="1:21" ht="16.5" x14ac:dyDescent="0.2">
      <c r="A121" s="46" t="s">
        <v>140</v>
      </c>
      <c r="B121" s="7"/>
      <c r="C121" s="14">
        <v>93.494965891538911</v>
      </c>
      <c r="D121" s="14">
        <v>99.1787455253817</v>
      </c>
      <c r="E121" s="14">
        <v>100.1626844587008</v>
      </c>
      <c r="F121" s="14">
        <v>108.90570737447734</v>
      </c>
      <c r="G121" s="14">
        <v>124.47176270331316</v>
      </c>
      <c r="H121" s="14">
        <v>169.55469003007403</v>
      </c>
      <c r="I121" s="14">
        <v>235.49868183926091</v>
      </c>
      <c r="J121" s="14">
        <v>357.60768924260952</v>
      </c>
      <c r="K121" s="14">
        <v>487.73207531063673</v>
      </c>
      <c r="L121" s="14">
        <v>456.11970948405951</v>
      </c>
      <c r="M121" s="14">
        <v>410.73209031227077</v>
      </c>
      <c r="N121" s="14">
        <v>456.12399033934719</v>
      </c>
      <c r="O121" s="14">
        <v>420.01840384770935</v>
      </c>
      <c r="P121" s="14">
        <v>479.70523898323773</v>
      </c>
      <c r="Q121" s="14">
        <v>412.5480970473472</v>
      </c>
      <c r="R121" s="14">
        <v>442.82611761010764</v>
      </c>
      <c r="S121" s="14">
        <v>417.997020943922</v>
      </c>
      <c r="T121" s="14">
        <v>403.68410763882696</v>
      </c>
      <c r="U121" s="14">
        <v>389.78130852891979</v>
      </c>
    </row>
    <row r="122" spans="1:21" ht="16.5" x14ac:dyDescent="0.2">
      <c r="A122" s="46" t="s">
        <v>141</v>
      </c>
      <c r="B122" s="7"/>
      <c r="C122" s="14">
        <v>295.62949720775225</v>
      </c>
      <c r="D122" s="14">
        <v>322.41218098769576</v>
      </c>
      <c r="E122" s="14">
        <v>359.18859066865025</v>
      </c>
      <c r="F122" s="14">
        <v>391.42969819092212</v>
      </c>
      <c r="G122" s="14">
        <v>466.86009973036391</v>
      </c>
      <c r="H122" s="14">
        <v>515.80996064831277</v>
      </c>
      <c r="I122" s="14">
        <v>561.09285221108189</v>
      </c>
      <c r="J122" s="14">
        <v>549.0805182708043</v>
      </c>
      <c r="K122" s="14">
        <v>562.60274875500829</v>
      </c>
      <c r="L122" s="14">
        <v>561.08874268772183</v>
      </c>
      <c r="M122" s="14">
        <v>529.02239147502723</v>
      </c>
      <c r="N122" s="14">
        <v>507.23397075415238</v>
      </c>
      <c r="O122" s="14">
        <v>456.95321953483784</v>
      </c>
      <c r="P122" s="14">
        <v>434.10156016450543</v>
      </c>
      <c r="Q122" s="14">
        <v>449.38620803996758</v>
      </c>
      <c r="R122" s="14">
        <v>450.28785958828917</v>
      </c>
      <c r="S122" s="14">
        <v>418.6996703223345</v>
      </c>
      <c r="T122" s="14">
        <v>420.14517325965807</v>
      </c>
      <c r="U122" s="25">
        <v>411.71754595028528</v>
      </c>
    </row>
    <row r="123" spans="1:21" ht="16.5" x14ac:dyDescent="0.2">
      <c r="A123" s="46" t="s">
        <v>142</v>
      </c>
      <c r="B123" s="7"/>
      <c r="C123" s="25">
        <v>23.324106125010005</v>
      </c>
      <c r="D123" s="14">
        <v>21.625169823169998</v>
      </c>
      <c r="E123" s="14">
        <v>21.201431708909993</v>
      </c>
      <c r="F123" s="14">
        <v>23.876932133000011</v>
      </c>
      <c r="G123" s="14">
        <v>29.337441715999997</v>
      </c>
      <c r="H123" s="14">
        <v>45.522557715000005</v>
      </c>
      <c r="I123" s="14">
        <v>67.265644347999995</v>
      </c>
      <c r="J123" s="14">
        <v>107.74736475399997</v>
      </c>
      <c r="K123" s="14">
        <v>142.64339336699999</v>
      </c>
      <c r="L123" s="14">
        <v>132.63526728099998</v>
      </c>
      <c r="M123" s="14">
        <v>153.87283261700003</v>
      </c>
      <c r="N123" s="14">
        <v>162.13306273800001</v>
      </c>
      <c r="O123" s="14">
        <v>150.88448512999997</v>
      </c>
      <c r="P123" s="14">
        <v>133.12897233000001</v>
      </c>
      <c r="Q123" s="14">
        <v>111.37201663299999</v>
      </c>
      <c r="R123" s="14">
        <v>95.148587685999985</v>
      </c>
      <c r="S123" s="14">
        <v>94.581840092999997</v>
      </c>
      <c r="T123" s="14">
        <v>94.495163649999981</v>
      </c>
      <c r="U123" s="14">
        <v>90.286642671999985</v>
      </c>
    </row>
    <row r="124" spans="1:21" ht="16.5" x14ac:dyDescent="0.2">
      <c r="A124" s="49" t="s">
        <v>159</v>
      </c>
      <c r="B124" s="7"/>
      <c r="C124" s="18">
        <f t="shared" ref="C124:H124" si="40">SUM(C120:C123)</f>
        <v>436.51784498094759</v>
      </c>
      <c r="D124" s="18">
        <f t="shared" si="40"/>
        <v>482.23948078600438</v>
      </c>
      <c r="E124" s="18">
        <f t="shared" si="40"/>
        <v>518.85438544250746</v>
      </c>
      <c r="F124" s="18">
        <f t="shared" si="40"/>
        <v>585.27360082516668</v>
      </c>
      <c r="G124" s="18">
        <f t="shared" si="40"/>
        <v>697.14714371820344</v>
      </c>
      <c r="H124" s="18">
        <f t="shared" si="40"/>
        <v>852.15734110288281</v>
      </c>
      <c r="I124" s="18">
        <f t="shared" ref="I124:U124" si="41">SUM(I120:I123)</f>
        <v>1035.5475431351399</v>
      </c>
      <c r="J124" s="18">
        <f t="shared" si="41"/>
        <v>1323.111469651541</v>
      </c>
      <c r="K124" s="18">
        <f t="shared" si="41"/>
        <v>1588.9084607732466</v>
      </c>
      <c r="L124" s="18">
        <f t="shared" si="41"/>
        <v>1644.682144802709</v>
      </c>
      <c r="M124" s="18">
        <f t="shared" si="41"/>
        <v>1509.0937031147189</v>
      </c>
      <c r="N124" s="18">
        <f t="shared" si="41"/>
        <v>1675.5186291103767</v>
      </c>
      <c r="O124" s="18">
        <f t="shared" si="41"/>
        <v>1514.8601442821143</v>
      </c>
      <c r="P124" s="18">
        <f t="shared" si="41"/>
        <v>1387.5252634515491</v>
      </c>
      <c r="Q124" s="18">
        <f t="shared" si="41"/>
        <v>1440.2982001814362</v>
      </c>
      <c r="R124" s="18">
        <f t="shared" si="41"/>
        <v>1377.6205633654031</v>
      </c>
      <c r="S124" s="18">
        <f t="shared" si="41"/>
        <v>1322.3947819254554</v>
      </c>
      <c r="T124" s="18">
        <f t="shared" si="41"/>
        <v>1294.0680071977467</v>
      </c>
      <c r="U124" s="18">
        <f t="shared" si="41"/>
        <v>1411.568885966228</v>
      </c>
    </row>
    <row r="125" spans="1:21" ht="16.5" x14ac:dyDescent="0.2">
      <c r="A125" s="47" t="s">
        <v>160</v>
      </c>
      <c r="B125" s="7"/>
      <c r="C125" s="28">
        <f t="shared" ref="C125:U125" si="42">+SUM(C118,C124)</f>
        <v>1085.605</v>
      </c>
      <c r="D125" s="28">
        <f t="shared" si="42"/>
        <v>1093.0336632505964</v>
      </c>
      <c r="E125" s="28">
        <f t="shared" si="42"/>
        <v>1169.3750404704078</v>
      </c>
      <c r="F125" s="28">
        <f t="shared" si="42"/>
        <v>1312.8168868431217</v>
      </c>
      <c r="G125" s="28">
        <f t="shared" si="42"/>
        <v>1679.1797415728547</v>
      </c>
      <c r="H125" s="28">
        <f t="shared" si="42"/>
        <v>2312.3200677979457</v>
      </c>
      <c r="I125" s="28">
        <f t="shared" si="42"/>
        <v>3294.505662959773</v>
      </c>
      <c r="J125" s="28">
        <f t="shared" si="42"/>
        <v>4378.3896591877256</v>
      </c>
      <c r="K125" s="28">
        <f t="shared" si="42"/>
        <v>5459.5002211693964</v>
      </c>
      <c r="L125" s="28">
        <f t="shared" si="42"/>
        <v>5579.086411884482</v>
      </c>
      <c r="M125" s="28">
        <f t="shared" si="42"/>
        <v>5702.2443579407936</v>
      </c>
      <c r="N125" s="28">
        <f t="shared" si="42"/>
        <v>5891.5972519074812</v>
      </c>
      <c r="O125" s="28">
        <f t="shared" si="42"/>
        <v>5555.8358867303741</v>
      </c>
      <c r="P125" s="28">
        <f t="shared" si="42"/>
        <v>5317.5802660966374</v>
      </c>
      <c r="Q125" s="28">
        <f t="shared" si="42"/>
        <v>5206.0400991753313</v>
      </c>
      <c r="R125" s="28">
        <f t="shared" si="42"/>
        <v>4834.8759401536699</v>
      </c>
      <c r="S125" s="28">
        <f t="shared" si="42"/>
        <v>4660.7220516146945</v>
      </c>
      <c r="T125" s="28">
        <f t="shared" si="42"/>
        <v>4695.9213512088681</v>
      </c>
      <c r="U125" s="28">
        <f t="shared" si="42"/>
        <v>4844.8995111874883</v>
      </c>
    </row>
    <row r="126" spans="1:21" ht="16.5" x14ac:dyDescent="0.2">
      <c r="A126" s="38" t="s">
        <v>161</v>
      </c>
      <c r="B126" s="7"/>
      <c r="C126" s="39">
        <f t="shared" ref="C126:U126" si="43">+C112-C125</f>
        <v>2026.1940000000004</v>
      </c>
      <c r="D126" s="40">
        <f t="shared" si="43"/>
        <v>2051.3379476781579</v>
      </c>
      <c r="E126" s="40">
        <f t="shared" si="43"/>
        <v>2045.5044011103778</v>
      </c>
      <c r="F126" s="40">
        <f t="shared" si="43"/>
        <v>2007.5418098691807</v>
      </c>
      <c r="G126" s="40">
        <f t="shared" si="43"/>
        <v>2080.6114632276181</v>
      </c>
      <c r="H126" s="40">
        <f t="shared" si="43"/>
        <v>1974.3535631618115</v>
      </c>
      <c r="I126" s="40">
        <f t="shared" si="43"/>
        <v>1918.4875923565851</v>
      </c>
      <c r="J126" s="40">
        <f t="shared" si="43"/>
        <v>1765.1842512601115</v>
      </c>
      <c r="K126" s="40">
        <f t="shared" si="43"/>
        <v>1548.8235215360355</v>
      </c>
      <c r="L126" s="40">
        <f t="shared" si="43"/>
        <v>1575.4863597662115</v>
      </c>
      <c r="M126" s="40">
        <f t="shared" si="43"/>
        <v>1632.3706585410964</v>
      </c>
      <c r="N126" s="40">
        <f t="shared" si="43"/>
        <v>1530.2956352874135</v>
      </c>
      <c r="O126" s="40">
        <f t="shared" si="43"/>
        <v>1680.3561076030101</v>
      </c>
      <c r="P126" s="40">
        <f t="shared" si="43"/>
        <v>1921.2944237044821</v>
      </c>
      <c r="Q126" s="40">
        <f t="shared" si="43"/>
        <v>1667.9224601426886</v>
      </c>
      <c r="R126" s="40">
        <f t="shared" si="43"/>
        <v>1998.0268983352789</v>
      </c>
      <c r="S126" s="40">
        <f t="shared" si="43"/>
        <v>1930.2726114142361</v>
      </c>
      <c r="T126" s="40">
        <f t="shared" si="43"/>
        <v>2021.1680690959292</v>
      </c>
      <c r="U126" s="39">
        <f t="shared" si="43"/>
        <v>1872.1085264210942</v>
      </c>
    </row>
    <row r="127" spans="1:21" ht="5.25" customHeight="1" x14ac:dyDescent="0.2">
      <c r="A127" s="50"/>
      <c r="B127" s="7"/>
      <c r="C127" s="41"/>
      <c r="D127" s="41"/>
      <c r="E127" s="41"/>
      <c r="F127" s="41"/>
      <c r="G127" s="41"/>
      <c r="H127" s="41"/>
      <c r="I127" s="41"/>
      <c r="J127" s="41"/>
      <c r="K127" s="41"/>
      <c r="L127" s="41"/>
      <c r="M127" s="41"/>
      <c r="N127" s="41"/>
      <c r="O127" s="41"/>
      <c r="P127" s="41"/>
      <c r="Q127" s="41"/>
      <c r="R127" s="41"/>
      <c r="S127" s="41"/>
      <c r="T127" s="41"/>
      <c r="U127" s="41"/>
    </row>
    <row r="128" spans="1:21" ht="16.5" x14ac:dyDescent="0.2">
      <c r="A128" s="49" t="s">
        <v>162</v>
      </c>
      <c r="B128" s="7"/>
      <c r="C128" s="18"/>
      <c r="D128" s="18"/>
      <c r="E128" s="18"/>
      <c r="F128" s="18"/>
      <c r="G128" s="18"/>
      <c r="H128" s="18"/>
      <c r="I128" s="18"/>
      <c r="J128" s="18"/>
      <c r="K128" s="18"/>
      <c r="L128" s="18"/>
      <c r="M128" s="18"/>
      <c r="N128" s="18"/>
      <c r="O128" s="18"/>
      <c r="P128" s="18"/>
      <c r="Q128" s="18"/>
      <c r="R128" s="18"/>
      <c r="S128" s="18"/>
      <c r="T128" s="18"/>
      <c r="U128" s="18"/>
    </row>
    <row r="129" spans="1:21" ht="16.5" x14ac:dyDescent="0.2">
      <c r="A129" s="46" t="s">
        <v>163</v>
      </c>
      <c r="B129" s="7"/>
      <c r="C129" s="25">
        <v>929.80764239110158</v>
      </c>
      <c r="D129" s="14">
        <v>862.89549510182292</v>
      </c>
      <c r="E129" s="14">
        <v>605.97539655080811</v>
      </c>
      <c r="F129" s="14">
        <v>793.65618565924512</v>
      </c>
      <c r="G129" s="14">
        <v>807.32579894398259</v>
      </c>
      <c r="H129" s="14">
        <v>719.56954808467617</v>
      </c>
      <c r="I129" s="14">
        <v>751.81328241966196</v>
      </c>
      <c r="J129" s="14">
        <v>841.69429013995079</v>
      </c>
      <c r="K129" s="14">
        <v>920.49577696174867</v>
      </c>
      <c r="L129" s="14">
        <v>1138.6449510799794</v>
      </c>
      <c r="M129" s="14">
        <v>1321.7853706081039</v>
      </c>
      <c r="N129" s="14">
        <v>1370.1127622369411</v>
      </c>
      <c r="O129" s="14">
        <v>1485.3850609181793</v>
      </c>
      <c r="P129" s="14">
        <v>1126.0501756066863</v>
      </c>
      <c r="Q129" s="14">
        <v>1096.3739663841295</v>
      </c>
      <c r="R129" s="14">
        <v>1047.3245641283313</v>
      </c>
      <c r="S129" s="14">
        <v>1154.0628236588682</v>
      </c>
      <c r="T129" s="14">
        <v>1118.5730893609118</v>
      </c>
      <c r="U129" s="14">
        <v>1112.2666526456276</v>
      </c>
    </row>
    <row r="130" spans="1:21" ht="16.5" x14ac:dyDescent="0.2">
      <c r="A130" s="46" t="s">
        <v>164</v>
      </c>
      <c r="B130" s="7"/>
      <c r="C130" s="14">
        <v>0.6511314504555209</v>
      </c>
      <c r="D130" s="14">
        <v>-6.2788716712356182E-2</v>
      </c>
      <c r="E130" s="14">
        <v>0.28556924620024371</v>
      </c>
      <c r="F130" s="14">
        <v>-0.21379287846718945</v>
      </c>
      <c r="G130" s="14">
        <v>18.945675556757209</v>
      </c>
      <c r="H130" s="14">
        <v>-0.97945910511876721</v>
      </c>
      <c r="I130" s="14">
        <v>-0.84748962232704439</v>
      </c>
      <c r="J130" s="14">
        <v>-0.39596580766757689</v>
      </c>
      <c r="K130" s="14">
        <v>-0.27486581648130054</v>
      </c>
      <c r="L130" s="14">
        <v>-9.601214196683701</v>
      </c>
      <c r="M130" s="14">
        <v>-0.713980507115899</v>
      </c>
      <c r="N130" s="14">
        <v>-2.2812782797640976</v>
      </c>
      <c r="O130" s="14">
        <v>3.2914358715005996</v>
      </c>
      <c r="P130" s="14">
        <v>-3.7104691434699813E-2</v>
      </c>
      <c r="Q130" s="14">
        <v>-0.11187344217460031</v>
      </c>
      <c r="R130" s="14">
        <v>1.0202957334962626</v>
      </c>
      <c r="S130" s="14">
        <v>-8.5251370156377</v>
      </c>
      <c r="T130" s="14">
        <v>10.278929907496492</v>
      </c>
      <c r="U130" s="14">
        <v>0.11878499072729778</v>
      </c>
    </row>
    <row r="131" spans="1:21" ht="16.5" x14ac:dyDescent="0.2">
      <c r="A131" s="46" t="s">
        <v>165</v>
      </c>
      <c r="B131" s="7"/>
      <c r="C131" s="25">
        <v>-91.713967665200002</v>
      </c>
      <c r="D131" s="14">
        <v>-111.57847734947002</v>
      </c>
      <c r="E131" s="14">
        <v>-120.53397555753001</v>
      </c>
      <c r="F131" s="14">
        <v>-148.086239328</v>
      </c>
      <c r="G131" s="14">
        <v>-130.84919294752959</v>
      </c>
      <c r="H131" s="14">
        <v>-151.79092340197943</v>
      </c>
      <c r="I131" s="14">
        <v>-173.07262336766993</v>
      </c>
      <c r="J131" s="14">
        <v>-188.26504253279603</v>
      </c>
      <c r="K131" s="14">
        <v>-133.73207271947518</v>
      </c>
      <c r="L131" s="14">
        <v>-140.75824475345649</v>
      </c>
      <c r="M131" s="14">
        <v>-148.77619918835191</v>
      </c>
      <c r="N131" s="14">
        <v>-132.50712006735108</v>
      </c>
      <c r="O131" s="14">
        <v>-128.61637771851809</v>
      </c>
      <c r="P131" s="14">
        <v>-139.76977392920003</v>
      </c>
      <c r="Q131" s="14">
        <v>-157.69446084635379</v>
      </c>
      <c r="R131" s="14">
        <v>-148.17900070145197</v>
      </c>
      <c r="S131" s="14">
        <v>-142.80928123804358</v>
      </c>
      <c r="T131" s="14">
        <v>-262.71929311749085</v>
      </c>
      <c r="U131" s="14">
        <v>-148.89147215070307</v>
      </c>
    </row>
    <row r="132" spans="1:21" ht="16.5" x14ac:dyDescent="0.2">
      <c r="A132" s="47" t="s">
        <v>166</v>
      </c>
      <c r="B132" s="7"/>
      <c r="C132" s="28">
        <f t="shared" ref="C132:H132" si="44">+SUM(C129:C131)</f>
        <v>838.74480617635709</v>
      </c>
      <c r="D132" s="28">
        <f t="shared" si="44"/>
        <v>751.25422903564049</v>
      </c>
      <c r="E132" s="28">
        <f t="shared" si="44"/>
        <v>485.72699023947831</v>
      </c>
      <c r="F132" s="28">
        <f t="shared" si="44"/>
        <v>645.3561534527779</v>
      </c>
      <c r="G132" s="28">
        <f t="shared" si="44"/>
        <v>695.42228155321027</v>
      </c>
      <c r="H132" s="28">
        <f t="shared" si="44"/>
        <v>566.79916557757804</v>
      </c>
      <c r="I132" s="28">
        <f t="shared" ref="I132:N132" si="45">+SUM(I129:I131)</f>
        <v>577.89316942966491</v>
      </c>
      <c r="J132" s="28">
        <f t="shared" si="45"/>
        <v>653.03328179948721</v>
      </c>
      <c r="K132" s="28">
        <f t="shared" si="45"/>
        <v>786.48883842579221</v>
      </c>
      <c r="L132" s="28">
        <f t="shared" si="45"/>
        <v>988.28549212983921</v>
      </c>
      <c r="M132" s="28">
        <f t="shared" si="45"/>
        <v>1172.2951909126361</v>
      </c>
      <c r="N132" s="28">
        <f t="shared" si="45"/>
        <v>1235.3243638898259</v>
      </c>
      <c r="O132" s="28">
        <f t="shared" ref="O132:U132" si="46">+SUM(O129:O131)</f>
        <v>1360.0601190711618</v>
      </c>
      <c r="P132" s="28">
        <f t="shared" si="46"/>
        <v>986.24329698605152</v>
      </c>
      <c r="Q132" s="28">
        <f t="shared" si="46"/>
        <v>938.5676320956012</v>
      </c>
      <c r="R132" s="28">
        <f t="shared" si="46"/>
        <v>900.1658591603757</v>
      </c>
      <c r="S132" s="28">
        <f t="shared" si="46"/>
        <v>1002.7284054051869</v>
      </c>
      <c r="T132" s="28">
        <f t="shared" si="46"/>
        <v>866.13272615091751</v>
      </c>
      <c r="U132" s="28">
        <f t="shared" si="46"/>
        <v>963.49396548565187</v>
      </c>
    </row>
    <row r="133" spans="1:21" ht="16.5" x14ac:dyDescent="0.2">
      <c r="A133" s="38" t="s">
        <v>167</v>
      </c>
      <c r="B133" s="7"/>
      <c r="C133" s="39">
        <f t="shared" ref="C133:U133" si="47">+C126-C132</f>
        <v>1187.4491938236433</v>
      </c>
      <c r="D133" s="40">
        <f t="shared" si="47"/>
        <v>1300.0837186425174</v>
      </c>
      <c r="E133" s="40">
        <f t="shared" si="47"/>
        <v>1559.7774108708995</v>
      </c>
      <c r="F133" s="40">
        <f t="shared" si="47"/>
        <v>1362.1856564164027</v>
      </c>
      <c r="G133" s="40">
        <f t="shared" si="47"/>
        <v>1385.1891816744078</v>
      </c>
      <c r="H133" s="40">
        <f t="shared" si="47"/>
        <v>1407.5543975842334</v>
      </c>
      <c r="I133" s="40">
        <f t="shared" si="47"/>
        <v>1340.5944229269203</v>
      </c>
      <c r="J133" s="40">
        <f t="shared" si="47"/>
        <v>1112.1509694606243</v>
      </c>
      <c r="K133" s="40">
        <f t="shared" si="47"/>
        <v>762.3346831102433</v>
      </c>
      <c r="L133" s="40">
        <f t="shared" si="47"/>
        <v>587.20086763637232</v>
      </c>
      <c r="M133" s="40">
        <f t="shared" si="47"/>
        <v>460.07546762846027</v>
      </c>
      <c r="N133" s="40">
        <f t="shared" si="47"/>
        <v>294.97127139758754</v>
      </c>
      <c r="O133" s="40">
        <f t="shared" si="47"/>
        <v>320.29598853184825</v>
      </c>
      <c r="P133" s="40">
        <f t="shared" si="47"/>
        <v>935.05112671843062</v>
      </c>
      <c r="Q133" s="40">
        <f t="shared" si="47"/>
        <v>729.35482804708738</v>
      </c>
      <c r="R133" s="40">
        <f t="shared" si="47"/>
        <v>1097.8610391749032</v>
      </c>
      <c r="S133" s="40">
        <f t="shared" si="47"/>
        <v>927.54420600904916</v>
      </c>
      <c r="T133" s="40">
        <f t="shared" si="47"/>
        <v>1155.0353429450117</v>
      </c>
      <c r="U133" s="40">
        <f t="shared" si="47"/>
        <v>908.61456093544234</v>
      </c>
    </row>
    <row r="134" spans="1:21" ht="5.25" customHeight="1" x14ac:dyDescent="0.2">
      <c r="A134" s="50"/>
      <c r="B134" s="7"/>
      <c r="C134" s="41"/>
      <c r="D134" s="41"/>
      <c r="E134" s="41"/>
      <c r="F134" s="41"/>
      <c r="G134" s="41"/>
      <c r="H134" s="41"/>
      <c r="I134" s="41"/>
      <c r="J134" s="41"/>
      <c r="K134" s="41"/>
      <c r="L134" s="41"/>
      <c r="M134" s="41"/>
      <c r="N134" s="41"/>
      <c r="O134" s="41"/>
      <c r="P134" s="41"/>
      <c r="Q134" s="41"/>
      <c r="R134" s="41"/>
      <c r="S134" s="41"/>
      <c r="T134" s="41"/>
      <c r="U134" s="41"/>
    </row>
    <row r="135" spans="1:21" ht="16.5" x14ac:dyDescent="0.2">
      <c r="A135" s="49" t="s">
        <v>168</v>
      </c>
      <c r="B135" s="7"/>
      <c r="C135" s="18"/>
      <c r="D135" s="18"/>
      <c r="E135" s="18"/>
      <c r="F135" s="18"/>
      <c r="G135" s="18"/>
      <c r="H135" s="18"/>
      <c r="I135" s="18"/>
      <c r="J135" s="18"/>
      <c r="K135" s="18"/>
      <c r="L135" s="18"/>
      <c r="M135" s="18"/>
      <c r="N135" s="18"/>
      <c r="O135" s="18"/>
      <c r="P135" s="18"/>
      <c r="Q135" s="18"/>
      <c r="R135" s="18"/>
      <c r="S135" s="18"/>
      <c r="T135" s="18"/>
      <c r="U135" s="18"/>
    </row>
    <row r="136" spans="1:21" ht="16.5" x14ac:dyDescent="0.2">
      <c r="A136" s="46" t="s">
        <v>169</v>
      </c>
      <c r="B136" s="7"/>
      <c r="C136" s="14">
        <v>503.96366436062203</v>
      </c>
      <c r="D136" s="14">
        <v>491.66032883211636</v>
      </c>
      <c r="E136" s="14">
        <v>521.06868732097905</v>
      </c>
      <c r="F136" s="14">
        <v>574.14240618439749</v>
      </c>
      <c r="G136" s="14">
        <v>564.56185709432066</v>
      </c>
      <c r="H136" s="14">
        <v>584.28839605852386</v>
      </c>
      <c r="I136" s="14">
        <v>636.21423425826219</v>
      </c>
      <c r="J136" s="14">
        <v>663.43218114365482</v>
      </c>
      <c r="K136" s="14">
        <v>664.38124878004805</v>
      </c>
      <c r="L136" s="14">
        <v>675.26483408349281</v>
      </c>
      <c r="M136" s="14">
        <v>682.59796883579645</v>
      </c>
      <c r="N136" s="14">
        <v>704.20339969637121</v>
      </c>
      <c r="O136" s="14">
        <v>678.91904008741767</v>
      </c>
      <c r="P136" s="14">
        <v>699.89802513539883</v>
      </c>
      <c r="Q136" s="14">
        <v>680.60406658319209</v>
      </c>
      <c r="R136" s="14">
        <v>704.38321104270835</v>
      </c>
      <c r="S136" s="14">
        <v>698.84761425770807</v>
      </c>
      <c r="T136" s="14">
        <v>711.03823620060223</v>
      </c>
      <c r="U136" s="14">
        <v>744.17558448340878</v>
      </c>
    </row>
    <row r="137" spans="1:21" ht="16.5" x14ac:dyDescent="0.2">
      <c r="A137" s="46" t="s">
        <v>170</v>
      </c>
      <c r="B137" s="7"/>
      <c r="C137" s="14">
        <v>88.593798836570002</v>
      </c>
      <c r="D137" s="14">
        <v>81.542477028139984</v>
      </c>
      <c r="E137" s="14">
        <v>85.152755638959988</v>
      </c>
      <c r="F137" s="14">
        <v>81.347959384939983</v>
      </c>
      <c r="G137" s="14">
        <v>83.864197151800013</v>
      </c>
      <c r="H137" s="14">
        <v>85.086470988289975</v>
      </c>
      <c r="I137" s="14">
        <v>88.559408727920001</v>
      </c>
      <c r="J137" s="14">
        <v>95.775212623099975</v>
      </c>
      <c r="K137" s="14">
        <v>122.86919446794001</v>
      </c>
      <c r="L137" s="14">
        <v>114.68649703735997</v>
      </c>
      <c r="M137" s="14">
        <v>112.78512925332002</v>
      </c>
      <c r="N137" s="14">
        <v>112.85327147956001</v>
      </c>
      <c r="O137" s="14">
        <v>120.25772751298997</v>
      </c>
      <c r="P137" s="14">
        <v>119.16933502100001</v>
      </c>
      <c r="Q137" s="14">
        <v>128.46451744420997</v>
      </c>
      <c r="R137" s="14">
        <v>128.03617922400002</v>
      </c>
      <c r="S137" s="14">
        <v>130.49864693375</v>
      </c>
      <c r="T137" s="14">
        <v>140.99998663675001</v>
      </c>
      <c r="U137" s="14">
        <v>148.71490304074996</v>
      </c>
    </row>
    <row r="138" spans="1:21" ht="16.5" x14ac:dyDescent="0.2">
      <c r="A138" s="46" t="s">
        <v>171</v>
      </c>
      <c r="B138" s="7"/>
      <c r="C138" s="14">
        <v>303.29438731285001</v>
      </c>
      <c r="D138" s="14">
        <v>283.97694246766008</v>
      </c>
      <c r="E138" s="14">
        <v>308.89394028906014</v>
      </c>
      <c r="F138" s="14">
        <v>302.90474065399974</v>
      </c>
      <c r="G138" s="14">
        <v>303.69588103002945</v>
      </c>
      <c r="H138" s="14">
        <v>198.95301788797056</v>
      </c>
      <c r="I138" s="14">
        <v>202.88461096199993</v>
      </c>
      <c r="J138" s="14">
        <v>179.88608452400007</v>
      </c>
      <c r="K138" s="14">
        <v>249.95788582399999</v>
      </c>
      <c r="L138" s="14">
        <v>271.39165838699995</v>
      </c>
      <c r="M138" s="14">
        <v>252.42774504900001</v>
      </c>
      <c r="N138" s="14">
        <v>204.72699891600001</v>
      </c>
      <c r="O138" s="14">
        <v>281.86266257499994</v>
      </c>
      <c r="P138" s="14">
        <v>289.62480150599998</v>
      </c>
      <c r="Q138" s="14">
        <v>291.940289538</v>
      </c>
      <c r="R138" s="14">
        <v>311.18061106399995</v>
      </c>
      <c r="S138" s="14">
        <v>319.63104130900001</v>
      </c>
      <c r="T138" s="14">
        <v>289.93330590000005</v>
      </c>
      <c r="U138" s="14">
        <v>335.84691468599999</v>
      </c>
    </row>
    <row r="139" spans="1:21" ht="16.5" x14ac:dyDescent="0.2">
      <c r="A139" s="46" t="s">
        <v>172</v>
      </c>
      <c r="B139" s="7"/>
      <c r="C139" s="14">
        <v>38.007871633139999</v>
      </c>
      <c r="D139" s="14">
        <v>38.739865257859996</v>
      </c>
      <c r="E139" s="14">
        <v>45.001469662000005</v>
      </c>
      <c r="F139" s="14">
        <v>47.637082029999988</v>
      </c>
      <c r="G139" s="14">
        <v>42.952931570000004</v>
      </c>
      <c r="H139" s="14">
        <v>44.490009857999993</v>
      </c>
      <c r="I139" s="14">
        <v>49.455509274000008</v>
      </c>
      <c r="J139" s="14">
        <v>50.338524211999989</v>
      </c>
      <c r="K139" s="14">
        <v>47.321893558999996</v>
      </c>
      <c r="L139" s="14">
        <v>47.522978324999997</v>
      </c>
      <c r="M139" s="14">
        <v>47.636420186000002</v>
      </c>
      <c r="N139" s="14">
        <v>45.709290244999984</v>
      </c>
      <c r="O139" s="14">
        <v>45.817087858999997</v>
      </c>
      <c r="P139" s="14">
        <v>44.16349018999999</v>
      </c>
      <c r="Q139" s="14">
        <v>45.529417525000014</v>
      </c>
      <c r="R139" s="14">
        <v>46.293363891999995</v>
      </c>
      <c r="S139" s="14">
        <v>47.969738196999998</v>
      </c>
      <c r="T139" s="14">
        <v>50.940548341000003</v>
      </c>
      <c r="U139" s="14">
        <v>53.420978212000001</v>
      </c>
    </row>
    <row r="140" spans="1:21" ht="16.5" x14ac:dyDescent="0.25">
      <c r="A140" s="51" t="s">
        <v>168</v>
      </c>
      <c r="B140" s="7"/>
      <c r="C140" s="28">
        <f t="shared" ref="C140:U140" si="48">+SUM(C136,C137:C138,C139)</f>
        <v>933.85972214318213</v>
      </c>
      <c r="D140" s="28">
        <f t="shared" si="48"/>
        <v>895.91961358577646</v>
      </c>
      <c r="E140" s="28">
        <f t="shared" si="48"/>
        <v>960.11685291099923</v>
      </c>
      <c r="F140" s="28">
        <f t="shared" si="48"/>
        <v>1006.0321882533372</v>
      </c>
      <c r="G140" s="28">
        <f t="shared" si="48"/>
        <v>995.07486684615014</v>
      </c>
      <c r="H140" s="28">
        <f t="shared" si="48"/>
        <v>912.81789479278439</v>
      </c>
      <c r="I140" s="28">
        <f t="shared" si="48"/>
        <v>977.11376322218211</v>
      </c>
      <c r="J140" s="28">
        <f t="shared" si="48"/>
        <v>989.43200250275481</v>
      </c>
      <c r="K140" s="28">
        <f t="shared" si="48"/>
        <v>1084.5302226309882</v>
      </c>
      <c r="L140" s="28">
        <f t="shared" si="48"/>
        <v>1108.8659678328527</v>
      </c>
      <c r="M140" s="28">
        <f t="shared" si="48"/>
        <v>1095.4472633241164</v>
      </c>
      <c r="N140" s="28">
        <f t="shared" si="48"/>
        <v>1067.4929603369312</v>
      </c>
      <c r="O140" s="28">
        <f t="shared" si="48"/>
        <v>1126.8565180344076</v>
      </c>
      <c r="P140" s="28">
        <f t="shared" si="48"/>
        <v>1152.8556518523988</v>
      </c>
      <c r="Q140" s="28">
        <f t="shared" si="48"/>
        <v>1146.5382910904023</v>
      </c>
      <c r="R140" s="28">
        <f t="shared" si="48"/>
        <v>1189.8933652227083</v>
      </c>
      <c r="S140" s="28">
        <f t="shared" si="48"/>
        <v>1196.9470406974581</v>
      </c>
      <c r="T140" s="28">
        <f t="shared" si="48"/>
        <v>1192.9120770783525</v>
      </c>
      <c r="U140" s="28">
        <f t="shared" si="48"/>
        <v>1282.1583804221586</v>
      </c>
    </row>
    <row r="141" spans="1:21" ht="16.5" x14ac:dyDescent="0.2">
      <c r="A141" s="46" t="s">
        <v>173</v>
      </c>
      <c r="B141" s="7"/>
      <c r="C141" s="14">
        <v>177.62</v>
      </c>
      <c r="D141" s="14">
        <v>164.81800781116448</v>
      </c>
      <c r="E141" s="14">
        <v>188.26026221376191</v>
      </c>
      <c r="F141" s="14">
        <v>201.04322852273668</v>
      </c>
      <c r="G141" s="14">
        <v>285.03660451400009</v>
      </c>
      <c r="H141" s="14">
        <v>215.48773731047748</v>
      </c>
      <c r="I141" s="14">
        <v>230.38873295365053</v>
      </c>
      <c r="J141" s="14">
        <v>239.76336394058529</v>
      </c>
      <c r="K141" s="14">
        <v>242.22728494155817</v>
      </c>
      <c r="L141" s="14">
        <v>224.97692362126477</v>
      </c>
      <c r="M141" s="14">
        <v>236.01808073407801</v>
      </c>
      <c r="N141" s="14">
        <v>300.59052040629916</v>
      </c>
      <c r="O141" s="14">
        <v>234.57806368056495</v>
      </c>
      <c r="P141" s="14">
        <v>252.23441551107368</v>
      </c>
      <c r="Q141" s="14">
        <v>264.74173960326277</v>
      </c>
      <c r="R141" s="14">
        <v>280.79569007564066</v>
      </c>
      <c r="S141" s="14">
        <v>296.50454242801032</v>
      </c>
      <c r="T141" s="14">
        <v>282.93059691709681</v>
      </c>
      <c r="U141" s="14">
        <v>299.13345648298031</v>
      </c>
    </row>
    <row r="142" spans="1:21" ht="16.5" x14ac:dyDescent="0.2">
      <c r="A142" s="38" t="s">
        <v>174</v>
      </c>
      <c r="B142" s="7"/>
      <c r="C142" s="39">
        <f t="shared" ref="C142:U142" si="49">+C140-C141</f>
        <v>756.23972214318212</v>
      </c>
      <c r="D142" s="40">
        <f t="shared" si="49"/>
        <v>731.10160577461193</v>
      </c>
      <c r="E142" s="40">
        <f t="shared" si="49"/>
        <v>771.85659069723738</v>
      </c>
      <c r="F142" s="40">
        <f t="shared" si="49"/>
        <v>804.98895973060053</v>
      </c>
      <c r="G142" s="40">
        <f t="shared" si="49"/>
        <v>710.03826233215</v>
      </c>
      <c r="H142" s="40">
        <f t="shared" si="49"/>
        <v>697.33015748230696</v>
      </c>
      <c r="I142" s="40">
        <f t="shared" si="49"/>
        <v>746.72503026853155</v>
      </c>
      <c r="J142" s="40">
        <f t="shared" si="49"/>
        <v>749.66863856216946</v>
      </c>
      <c r="K142" s="40">
        <f t="shared" si="49"/>
        <v>842.30293768943</v>
      </c>
      <c r="L142" s="40">
        <f t="shared" si="49"/>
        <v>883.88904421158793</v>
      </c>
      <c r="M142" s="40">
        <f t="shared" si="49"/>
        <v>859.42918259003841</v>
      </c>
      <c r="N142" s="40">
        <f t="shared" si="49"/>
        <v>766.902439930632</v>
      </c>
      <c r="O142" s="40">
        <f t="shared" si="49"/>
        <v>892.27845435384268</v>
      </c>
      <c r="P142" s="40">
        <f t="shared" si="49"/>
        <v>900.62123634132513</v>
      </c>
      <c r="Q142" s="40">
        <f t="shared" si="49"/>
        <v>881.79655148713948</v>
      </c>
      <c r="R142" s="40">
        <f t="shared" si="49"/>
        <v>909.09767514706766</v>
      </c>
      <c r="S142" s="40">
        <f t="shared" si="49"/>
        <v>900.4424982694477</v>
      </c>
      <c r="T142" s="40">
        <f t="shared" si="49"/>
        <v>909.9814801612556</v>
      </c>
      <c r="U142" s="40">
        <f t="shared" si="49"/>
        <v>983.02492393917828</v>
      </c>
    </row>
    <row r="143" spans="1:21" ht="5.25" customHeight="1" x14ac:dyDescent="0.2">
      <c r="A143" s="7"/>
      <c r="B143" s="7"/>
      <c r="C143" s="41"/>
      <c r="D143" s="41"/>
      <c r="E143" s="41"/>
      <c r="F143" s="41"/>
      <c r="G143" s="41"/>
      <c r="H143" s="41"/>
      <c r="I143" s="41"/>
      <c r="J143" s="41"/>
      <c r="K143" s="41"/>
      <c r="L143" s="41"/>
      <c r="M143" s="41"/>
      <c r="N143" s="41"/>
      <c r="O143" s="41"/>
      <c r="P143" s="41"/>
      <c r="Q143" s="41"/>
      <c r="R143" s="41"/>
      <c r="S143" s="41"/>
      <c r="T143" s="41"/>
      <c r="U143" s="41"/>
    </row>
    <row r="144" spans="1:21" ht="16.5" x14ac:dyDescent="0.2">
      <c r="A144" s="38" t="s">
        <v>175</v>
      </c>
      <c r="B144" s="7"/>
      <c r="C144" s="25">
        <v>770.68010002901781</v>
      </c>
      <c r="D144" s="14">
        <v>940.84874635738038</v>
      </c>
      <c r="E144" s="14">
        <v>710.84132129333636</v>
      </c>
      <c r="F144" s="14">
        <v>676.56447532898562</v>
      </c>
      <c r="G144" s="14">
        <v>1020.5934160706258</v>
      </c>
      <c r="H144" s="14">
        <v>1440.8003358554283</v>
      </c>
      <c r="I144" s="14">
        <v>1165.5679296897761</v>
      </c>
      <c r="J144" s="14">
        <v>918.13494041962451</v>
      </c>
      <c r="K144" s="14">
        <v>1163.6391234573478</v>
      </c>
      <c r="L144" s="14">
        <v>619.22504492278745</v>
      </c>
      <c r="M144" s="14">
        <v>637.83121478390831</v>
      </c>
      <c r="N144" s="14">
        <v>797.26352632857765</v>
      </c>
      <c r="O144" s="14">
        <v>823.41044564533252</v>
      </c>
      <c r="P144" s="14">
        <v>621.76584968003283</v>
      </c>
      <c r="Q144" s="14">
        <v>523.31319916332188</v>
      </c>
      <c r="R144" s="14">
        <v>508.86577849759811</v>
      </c>
      <c r="S144" s="14">
        <v>679.80080071071632</v>
      </c>
      <c r="T144" s="14">
        <v>493.43205379932976</v>
      </c>
      <c r="U144" s="14">
        <v>462.57474911101394</v>
      </c>
    </row>
    <row r="145" spans="1:21" ht="5.25" customHeight="1" x14ac:dyDescent="0.2">
      <c r="A145" s="7"/>
      <c r="B145" s="7"/>
      <c r="C145" s="41"/>
      <c r="D145" s="41"/>
      <c r="E145" s="41"/>
      <c r="F145" s="41"/>
      <c r="G145" s="41"/>
      <c r="H145" s="41"/>
      <c r="I145" s="41"/>
      <c r="J145" s="41"/>
      <c r="K145" s="41"/>
      <c r="L145" s="41"/>
      <c r="M145" s="41"/>
      <c r="N145" s="41"/>
      <c r="O145" s="41"/>
      <c r="P145" s="41"/>
      <c r="Q145" s="41"/>
      <c r="R145" s="41"/>
      <c r="S145" s="41"/>
      <c r="T145" s="41"/>
      <c r="U145" s="41"/>
    </row>
    <row r="146" spans="1:21" ht="16.5" x14ac:dyDescent="0.2">
      <c r="A146" s="46" t="s">
        <v>21</v>
      </c>
      <c r="B146" s="7"/>
      <c r="C146" s="25">
        <v>-119.89051061174007</v>
      </c>
      <c r="D146" s="14">
        <v>99.290793799822154</v>
      </c>
      <c r="E146" s="14">
        <v>83.204778670554703</v>
      </c>
      <c r="F146" s="14">
        <v>62.492246733536319</v>
      </c>
      <c r="G146" s="14">
        <v>-18.272642138578362</v>
      </c>
      <c r="H146" s="14">
        <v>-111.68717828802967</v>
      </c>
      <c r="I146" s="14">
        <v>-41.991196127542587</v>
      </c>
      <c r="J146" s="14">
        <v>201.72037738940674</v>
      </c>
      <c r="K146" s="14">
        <v>590.97789183457382</v>
      </c>
      <c r="L146" s="14">
        <v>392.07331819077234</v>
      </c>
      <c r="M146" s="14">
        <v>-26.720477832549602</v>
      </c>
      <c r="N146" s="14">
        <v>708.75181553092079</v>
      </c>
      <c r="O146" s="14">
        <v>301.44069724985923</v>
      </c>
      <c r="P146" s="14">
        <v>146.14531836275208</v>
      </c>
      <c r="Q146" s="14">
        <v>740.24527074236471</v>
      </c>
      <c r="R146" s="14">
        <v>-199.06742523556633</v>
      </c>
      <c r="S146" s="14">
        <v>310.92239447139906</v>
      </c>
      <c r="T146" s="14">
        <v>580.1352696339975</v>
      </c>
      <c r="U146" s="25">
        <v>1031.8226097400302</v>
      </c>
    </row>
    <row r="147" spans="1:21" ht="16.5" x14ac:dyDescent="0.2">
      <c r="A147" s="46" t="s">
        <v>22</v>
      </c>
      <c r="B147" s="7"/>
      <c r="C147" s="14">
        <v>309.50007642541379</v>
      </c>
      <c r="D147" s="14">
        <v>163.15591710782527</v>
      </c>
      <c r="E147" s="14">
        <v>156.35632929087612</v>
      </c>
      <c r="F147" s="14">
        <v>168.17061432408451</v>
      </c>
      <c r="G147" s="14">
        <v>-269.07255995603583</v>
      </c>
      <c r="H147" s="14">
        <v>593.17909596987488</v>
      </c>
      <c r="I147" s="14">
        <v>798.42130361995169</v>
      </c>
      <c r="J147" s="14">
        <v>407.32868687219656</v>
      </c>
      <c r="K147" s="14">
        <v>-672.25810778092102</v>
      </c>
      <c r="L147" s="14">
        <v>-1175.2185289612155</v>
      </c>
      <c r="M147" s="14">
        <v>-227.17624465872078</v>
      </c>
      <c r="N147" s="14">
        <v>-506.47908129461393</v>
      </c>
      <c r="O147" s="14">
        <v>-57.809332984999998</v>
      </c>
      <c r="P147" s="14">
        <v>190.59662340400001</v>
      </c>
      <c r="Q147" s="14">
        <v>-242.03681436300002</v>
      </c>
      <c r="R147" s="14">
        <v>524.88920160956252</v>
      </c>
      <c r="S147" s="14">
        <v>-77.334871257000003</v>
      </c>
      <c r="T147" s="14">
        <v>-15.781128274972652</v>
      </c>
      <c r="U147" s="14">
        <v>-510.81551094499991</v>
      </c>
    </row>
    <row r="148" spans="1:21" ht="16.5" x14ac:dyDescent="0.2">
      <c r="A148" s="38" t="s">
        <v>176</v>
      </c>
      <c r="B148" s="7"/>
      <c r="C148" s="39">
        <v>189.60956581367375</v>
      </c>
      <c r="D148" s="40">
        <v>262.44671090764746</v>
      </c>
      <c r="E148" s="40">
        <v>239.56110796143079</v>
      </c>
      <c r="F148" s="40">
        <v>230.6628610576208</v>
      </c>
      <c r="G148" s="40">
        <v>-287.34520209461414</v>
      </c>
      <c r="H148" s="40">
        <v>481.49191768184517</v>
      </c>
      <c r="I148" s="40">
        <v>756.43010749240909</v>
      </c>
      <c r="J148" s="40">
        <v>609.04906426160335</v>
      </c>
      <c r="K148" s="40">
        <v>-81.280215946347283</v>
      </c>
      <c r="L148" s="40">
        <v>-783.14521077044321</v>
      </c>
      <c r="M148" s="40">
        <v>-253.89672249127037</v>
      </c>
      <c r="N148" s="40">
        <v>202.27273423630677</v>
      </c>
      <c r="O148" s="40">
        <v>243.6313642648592</v>
      </c>
      <c r="P148" s="40">
        <v>336.74194176675212</v>
      </c>
      <c r="Q148" s="40">
        <v>498.20845637936469</v>
      </c>
      <c r="R148" s="40">
        <v>325.82177637399616</v>
      </c>
      <c r="S148" s="40">
        <v>233.58752321439908</v>
      </c>
      <c r="T148" s="40">
        <v>564.35414135902488</v>
      </c>
      <c r="U148" s="40">
        <v>521.0070987950304</v>
      </c>
    </row>
    <row r="149" spans="1:21" ht="16.5" x14ac:dyDescent="0.2">
      <c r="A149" s="52" t="s">
        <v>177</v>
      </c>
      <c r="B149" s="7"/>
      <c r="C149" s="25">
        <v>81.639591504999999</v>
      </c>
      <c r="D149" s="14">
        <v>62.81836736799999</v>
      </c>
      <c r="E149" s="14">
        <v>62.818360994999992</v>
      </c>
      <c r="F149" s="14">
        <v>62.818364180999986</v>
      </c>
      <c r="G149" s="14">
        <v>73.908250355999996</v>
      </c>
      <c r="H149" s="14">
        <v>68.429127141999999</v>
      </c>
      <c r="I149" s="14">
        <v>68.20702931400001</v>
      </c>
      <c r="J149" s="14">
        <v>68.207029315999975</v>
      </c>
      <c r="K149" s="14">
        <v>93.949069648999995</v>
      </c>
      <c r="L149" s="14">
        <v>76.578701442000011</v>
      </c>
      <c r="M149" s="14">
        <v>76.578701441999996</v>
      </c>
      <c r="N149" s="14">
        <v>76.578701441999996</v>
      </c>
      <c r="O149" s="14">
        <v>104.48448166799999</v>
      </c>
      <c r="P149" s="14">
        <v>82.144826433000006</v>
      </c>
      <c r="Q149" s="14">
        <v>82.144826429999981</v>
      </c>
      <c r="R149" s="14">
        <v>82.144870890999968</v>
      </c>
      <c r="S149" s="14">
        <v>96.702252350999998</v>
      </c>
      <c r="T149" s="14">
        <v>89.343197473999993</v>
      </c>
      <c r="U149" s="14">
        <v>89.343197475999972</v>
      </c>
    </row>
    <row r="150" spans="1:21" ht="16.5" x14ac:dyDescent="0.2">
      <c r="A150" s="52" t="s">
        <v>178</v>
      </c>
      <c r="B150" s="7"/>
      <c r="C150" s="14">
        <v>0</v>
      </c>
      <c r="D150" s="14">
        <v>0</v>
      </c>
      <c r="E150" s="14">
        <v>0</v>
      </c>
      <c r="F150" s="14">
        <v>0</v>
      </c>
      <c r="G150" s="25">
        <v>0</v>
      </c>
      <c r="H150" s="14">
        <v>0</v>
      </c>
      <c r="I150" s="14">
        <v>0</v>
      </c>
      <c r="J150" s="14">
        <v>0</v>
      </c>
      <c r="K150" s="14">
        <v>0</v>
      </c>
      <c r="L150" s="14">
        <v>0</v>
      </c>
      <c r="M150" s="14">
        <v>0</v>
      </c>
      <c r="N150" s="14">
        <v>0</v>
      </c>
      <c r="O150" s="14">
        <v>0</v>
      </c>
      <c r="P150" s="14">
        <v>0</v>
      </c>
      <c r="Q150" s="14">
        <v>0</v>
      </c>
      <c r="R150" s="14">
        <v>0</v>
      </c>
      <c r="S150" s="14">
        <v>0</v>
      </c>
      <c r="T150" s="14">
        <v>0</v>
      </c>
      <c r="U150" s="14">
        <v>0</v>
      </c>
    </row>
    <row r="151" spans="1:21" ht="5.25" customHeight="1" x14ac:dyDescent="0.2">
      <c r="A151" s="7"/>
      <c r="B151" s="7"/>
      <c r="C151" s="41"/>
      <c r="D151" s="41"/>
      <c r="E151" s="41"/>
      <c r="F151" s="41"/>
      <c r="G151" s="41"/>
      <c r="H151" s="41"/>
      <c r="I151" s="41"/>
      <c r="J151" s="41"/>
      <c r="K151" s="41"/>
      <c r="L151" s="41"/>
      <c r="M151" s="41"/>
      <c r="N151" s="41"/>
      <c r="O151" s="41"/>
      <c r="P151" s="41"/>
      <c r="Q151" s="41"/>
      <c r="R151" s="41"/>
      <c r="S151" s="41"/>
      <c r="T151" s="41"/>
      <c r="U151" s="41"/>
    </row>
    <row r="152" spans="1:21" ht="16.5" x14ac:dyDescent="0.2">
      <c r="A152" s="49" t="s">
        <v>179</v>
      </c>
      <c r="B152" s="7"/>
      <c r="C152" s="18"/>
      <c r="D152" s="18"/>
      <c r="E152" s="18"/>
      <c r="F152" s="18"/>
      <c r="G152" s="18"/>
      <c r="H152" s="18"/>
      <c r="I152" s="18"/>
      <c r="J152" s="18"/>
      <c r="K152" s="18"/>
      <c r="L152" s="18"/>
      <c r="M152" s="18"/>
      <c r="N152" s="18"/>
      <c r="O152" s="18"/>
      <c r="P152" s="18"/>
      <c r="Q152" s="18"/>
      <c r="R152" s="18"/>
      <c r="S152" s="18"/>
      <c r="T152" s="18"/>
      <c r="U152" s="18"/>
    </row>
    <row r="153" spans="1:21" ht="16.5" x14ac:dyDescent="0.2">
      <c r="A153" s="46" t="s">
        <v>180</v>
      </c>
      <c r="B153" s="7"/>
      <c r="C153" s="25">
        <v>-167.35966303329641</v>
      </c>
      <c r="D153" s="14">
        <v>-82.731973334037761</v>
      </c>
      <c r="E153" s="14">
        <v>-124.47079163282598</v>
      </c>
      <c r="F153" s="14">
        <v>-116.85371017029533</v>
      </c>
      <c r="G153" s="14">
        <v>369.18571763104512</v>
      </c>
      <c r="H153" s="14">
        <v>-702.47603057954302</v>
      </c>
      <c r="I153" s="14">
        <v>-951.94810074549093</v>
      </c>
      <c r="J153" s="14">
        <v>-540.47909888470497</v>
      </c>
      <c r="K153" s="14">
        <v>488.54472866765184</v>
      </c>
      <c r="L153" s="14">
        <v>1196.3020447126262</v>
      </c>
      <c r="M153" s="14">
        <v>317.6022248446767</v>
      </c>
      <c r="N153" s="14">
        <v>251.47644581015641</v>
      </c>
      <c r="O153" s="14">
        <v>31.87340163683313</v>
      </c>
      <c r="P153" s="14">
        <v>-261.9322585734883</v>
      </c>
      <c r="Q153" s="14">
        <v>16.773640851927134</v>
      </c>
      <c r="R153" s="14">
        <v>-241.53248571409185</v>
      </c>
      <c r="S153" s="14">
        <v>259.04699543247432</v>
      </c>
      <c r="T153" s="14">
        <v>33.235754845386921</v>
      </c>
      <c r="U153" s="14">
        <v>299.48666252952444</v>
      </c>
    </row>
    <row r="154" spans="1:21" ht="16.5" x14ac:dyDescent="0.2">
      <c r="A154" s="46" t="s">
        <v>181</v>
      </c>
      <c r="B154" s="7"/>
      <c r="C154" s="25">
        <v>71.030487205091859</v>
      </c>
      <c r="D154" s="14">
        <v>8.3622392363507974</v>
      </c>
      <c r="E154" s="14">
        <v>8.2954496201707375</v>
      </c>
      <c r="F154" s="14">
        <v>-4.0491622016829494</v>
      </c>
      <c r="G154" s="14">
        <v>-2.5636191622783344</v>
      </c>
      <c r="H154" s="14">
        <v>-8.3428800468117483</v>
      </c>
      <c r="I154" s="14">
        <v>-11.426471447376697</v>
      </c>
      <c r="J154" s="14">
        <v>-112.36554503437199</v>
      </c>
      <c r="K154" s="14">
        <v>27.543525296769399</v>
      </c>
      <c r="L154" s="14">
        <v>32.599885820787399</v>
      </c>
      <c r="M154" s="14">
        <v>4.141432165258113</v>
      </c>
      <c r="N154" s="14">
        <v>44.487744468322198</v>
      </c>
      <c r="O154" s="14">
        <v>53.400980911495694</v>
      </c>
      <c r="P154" s="14">
        <v>-6.6728730251223025</v>
      </c>
      <c r="Q154" s="14">
        <v>115.1880329920254</v>
      </c>
      <c r="R154" s="14">
        <v>-11.747569460919971</v>
      </c>
      <c r="S154" s="14">
        <v>-5.6157397918290295</v>
      </c>
      <c r="T154" s="14">
        <v>-56.46036825967559</v>
      </c>
      <c r="U154" s="14">
        <v>34.104910605932815</v>
      </c>
    </row>
    <row r="155" spans="1:21" ht="16.5" x14ac:dyDescent="0.2">
      <c r="A155" s="46" t="s">
        <v>182</v>
      </c>
      <c r="B155" s="7"/>
      <c r="C155" s="25">
        <v>3.9360950728473321</v>
      </c>
      <c r="D155" s="14">
        <v>4.080097808505589</v>
      </c>
      <c r="E155" s="14">
        <v>4.4429167655370279</v>
      </c>
      <c r="F155" s="14">
        <v>1.1713249174816047</v>
      </c>
      <c r="G155" s="14">
        <v>3.9192845646490961</v>
      </c>
      <c r="H155" s="14">
        <v>1.909661303445463</v>
      </c>
      <c r="I155" s="14">
        <v>2.6617485470652902</v>
      </c>
      <c r="J155" s="14">
        <v>1.9963434126372013</v>
      </c>
      <c r="K155" s="14">
        <v>1.0625167382840259</v>
      </c>
      <c r="L155" s="14">
        <v>20.553138882095901</v>
      </c>
      <c r="M155" s="14">
        <v>15.011260049481491</v>
      </c>
      <c r="N155" s="14">
        <v>11.961645432287922</v>
      </c>
      <c r="O155" s="14">
        <v>3.8968105816786998</v>
      </c>
      <c r="P155" s="14">
        <v>5.2775600149117015</v>
      </c>
      <c r="Q155" s="14">
        <v>10.815637239210195</v>
      </c>
      <c r="R155" s="14">
        <v>3.6072098212980053</v>
      </c>
      <c r="S155" s="14">
        <v>0.70392657361800004</v>
      </c>
      <c r="T155" s="14">
        <v>7.0894669184725991</v>
      </c>
      <c r="U155" s="14">
        <v>3.0729028157513003</v>
      </c>
    </row>
    <row r="156" spans="1:21" ht="16.5" x14ac:dyDescent="0.2">
      <c r="A156" s="46" t="s">
        <v>183</v>
      </c>
      <c r="B156" s="7"/>
      <c r="C156" s="25">
        <v>162.53146084456324</v>
      </c>
      <c r="D156" s="14">
        <v>86.203215040402952</v>
      </c>
      <c r="E156" s="14">
        <v>126.74850217813864</v>
      </c>
      <c r="F156" s="14">
        <v>78.702501319468695</v>
      </c>
      <c r="G156" s="14">
        <v>203.29099049008462</v>
      </c>
      <c r="H156" s="14">
        <v>93.233392505984639</v>
      </c>
      <c r="I156" s="14">
        <v>104.79024480166761</v>
      </c>
      <c r="J156" s="14">
        <v>91.350606043868567</v>
      </c>
      <c r="K156" s="14">
        <v>214.50438928496828</v>
      </c>
      <c r="L156" s="14">
        <v>101.81766045322458</v>
      </c>
      <c r="M156" s="14">
        <v>95.45372089130349</v>
      </c>
      <c r="N156" s="14">
        <v>85.895652431586697</v>
      </c>
      <c r="O156" s="14">
        <v>225.50199293582685</v>
      </c>
      <c r="P156" s="14">
        <v>96.435998950179254</v>
      </c>
      <c r="Q156" s="14">
        <v>102.23110344998038</v>
      </c>
      <c r="R156" s="14">
        <v>102.67839616130465</v>
      </c>
      <c r="S156" s="14">
        <v>226.58584213680598</v>
      </c>
      <c r="T156" s="14">
        <v>95.767665152940722</v>
      </c>
      <c r="U156" s="14">
        <v>86.737201415746995</v>
      </c>
    </row>
    <row r="157" spans="1:21" ht="16.5" x14ac:dyDescent="0.2">
      <c r="A157" s="46" t="s">
        <v>184</v>
      </c>
      <c r="B157" s="7"/>
      <c r="C157" s="25">
        <v>1.9747665322299999</v>
      </c>
      <c r="D157" s="14">
        <v>-2.7398010340000611E-2</v>
      </c>
      <c r="E157" s="14">
        <v>5.8414565692099991</v>
      </c>
      <c r="F157" s="14">
        <v>13.185577923000004</v>
      </c>
      <c r="G157" s="14">
        <v>0.27747279399999997</v>
      </c>
      <c r="H157" s="14">
        <v>12.477026857999999</v>
      </c>
      <c r="I157" s="14">
        <v>8.8420720209999999</v>
      </c>
      <c r="J157" s="14">
        <v>28.866594139919407</v>
      </c>
      <c r="K157" s="14">
        <v>8.8868390000000005E-3</v>
      </c>
      <c r="L157" s="14">
        <v>-29.422726319600898</v>
      </c>
      <c r="M157" s="14">
        <v>14.204849699</v>
      </c>
      <c r="N157" s="14">
        <v>90.095063538379193</v>
      </c>
      <c r="O157" s="14">
        <v>8.0532980379999994</v>
      </c>
      <c r="P157" s="14">
        <v>17.122828214999998</v>
      </c>
      <c r="Q157" s="14">
        <v>9.9458640380000034</v>
      </c>
      <c r="R157" s="14">
        <v>-8.1225073249280033</v>
      </c>
      <c r="S157" s="14">
        <v>7.8262695729999994</v>
      </c>
      <c r="T157" s="14">
        <v>13.958984968999999</v>
      </c>
      <c r="U157" s="14">
        <v>18.644187066007103</v>
      </c>
    </row>
    <row r="158" spans="1:21" ht="16.5" x14ac:dyDescent="0.2">
      <c r="A158" s="46" t="s">
        <v>185</v>
      </c>
      <c r="B158" s="7"/>
      <c r="C158" s="25">
        <v>68.097588208047455</v>
      </c>
      <c r="D158" s="14">
        <v>63.505813594146559</v>
      </c>
      <c r="E158" s="14">
        <v>96.332371341316346</v>
      </c>
      <c r="F158" s="14">
        <v>80.73034548228982</v>
      </c>
      <c r="G158" s="14">
        <v>219.1733644646753</v>
      </c>
      <c r="H158" s="14">
        <v>58.538226409987665</v>
      </c>
      <c r="I158" s="14">
        <v>77.776306042076257</v>
      </c>
      <c r="J158" s="14">
        <v>202.74137274210452</v>
      </c>
      <c r="K158" s="14">
        <v>144.20591610362294</v>
      </c>
      <c r="L158" s="14">
        <v>194.72249635875139</v>
      </c>
      <c r="M158" s="14">
        <v>253.75797537729355</v>
      </c>
      <c r="N158" s="14">
        <v>174.77247512617137</v>
      </c>
      <c r="O158" s="14">
        <v>86.59361831884496</v>
      </c>
      <c r="P158" s="14">
        <v>152.37727533647137</v>
      </c>
      <c r="Q158" s="14">
        <v>166.11001131745368</v>
      </c>
      <c r="R158" s="14">
        <v>212.79208417642943</v>
      </c>
      <c r="S158" s="14">
        <v>108.08006907569292</v>
      </c>
      <c r="T158" s="14">
        <v>271.06195670828993</v>
      </c>
      <c r="U158" s="14">
        <v>118.8914601046645</v>
      </c>
    </row>
    <row r="159" spans="1:21" ht="16.5" x14ac:dyDescent="0.2">
      <c r="A159" s="38" t="s">
        <v>186</v>
      </c>
      <c r="B159" s="7"/>
      <c r="C159" s="39">
        <f t="shared" ref="C159:U159" si="50">+SUM(C157:C158,C153:C156)</f>
        <v>140.21073482948347</v>
      </c>
      <c r="D159" s="40">
        <f t="shared" si="50"/>
        <v>79.39199433502813</v>
      </c>
      <c r="E159" s="40">
        <f t="shared" si="50"/>
        <v>117.18990484154676</v>
      </c>
      <c r="F159" s="40">
        <f t="shared" si="50"/>
        <v>52.886877270261834</v>
      </c>
      <c r="G159" s="40">
        <f t="shared" si="50"/>
        <v>793.28321078217573</v>
      </c>
      <c r="H159" s="40">
        <f t="shared" si="50"/>
        <v>-544.66060354893705</v>
      </c>
      <c r="I159" s="40">
        <f t="shared" si="50"/>
        <v>-769.30420078105851</v>
      </c>
      <c r="J159" s="40">
        <f t="shared" si="50"/>
        <v>-327.88972758054729</v>
      </c>
      <c r="K159" s="40">
        <f t="shared" si="50"/>
        <v>875.86996293029642</v>
      </c>
      <c r="L159" s="40">
        <f t="shared" si="50"/>
        <v>1516.5724999078845</v>
      </c>
      <c r="M159" s="40">
        <f t="shared" si="50"/>
        <v>700.17146302701349</v>
      </c>
      <c r="N159" s="40">
        <f t="shared" si="50"/>
        <v>658.68902680690371</v>
      </c>
      <c r="O159" s="40">
        <f t="shared" si="50"/>
        <v>409.32010242267933</v>
      </c>
      <c r="P159" s="40">
        <f t="shared" si="50"/>
        <v>2.6085309179517253</v>
      </c>
      <c r="Q159" s="40">
        <f t="shared" si="50"/>
        <v>421.06428988859676</v>
      </c>
      <c r="R159" s="40">
        <f t="shared" si="50"/>
        <v>57.675127659092269</v>
      </c>
      <c r="S159" s="40">
        <f t="shared" si="50"/>
        <v>596.62736299976223</v>
      </c>
      <c r="T159" s="40">
        <f t="shared" si="50"/>
        <v>364.65346033441455</v>
      </c>
      <c r="U159" s="40">
        <f t="shared" si="50"/>
        <v>560.93732453762709</v>
      </c>
    </row>
    <row r="160" spans="1:21" ht="5.25" customHeight="1" x14ac:dyDescent="0.2">
      <c r="A160" s="50"/>
      <c r="B160" s="7"/>
      <c r="C160" s="41"/>
      <c r="D160" s="41"/>
      <c r="E160" s="41"/>
      <c r="F160" s="41"/>
      <c r="G160" s="41"/>
      <c r="H160" s="41"/>
      <c r="I160" s="41"/>
      <c r="J160" s="41"/>
      <c r="K160" s="41"/>
      <c r="L160" s="41"/>
      <c r="M160" s="41"/>
      <c r="N160" s="41"/>
      <c r="O160" s="41"/>
      <c r="P160" s="41"/>
      <c r="Q160" s="41"/>
      <c r="R160" s="41"/>
      <c r="S160" s="41"/>
      <c r="T160" s="41"/>
      <c r="U160" s="41"/>
    </row>
    <row r="161" spans="1:21" ht="16.5" x14ac:dyDescent="0.2">
      <c r="A161" s="50" t="s">
        <v>187</v>
      </c>
      <c r="B161" s="7"/>
      <c r="C161" s="18"/>
      <c r="D161" s="18"/>
      <c r="E161" s="18"/>
      <c r="F161" s="18"/>
      <c r="G161" s="18"/>
      <c r="H161" s="18"/>
      <c r="I161" s="18"/>
      <c r="J161" s="18"/>
      <c r="K161" s="18"/>
      <c r="L161" s="18"/>
      <c r="M161" s="18"/>
      <c r="N161" s="18"/>
      <c r="O161" s="18"/>
      <c r="P161" s="18"/>
      <c r="Q161" s="18"/>
      <c r="R161" s="18"/>
      <c r="S161" s="18"/>
      <c r="T161" s="18"/>
      <c r="U161" s="18"/>
    </row>
    <row r="162" spans="1:21" ht="16.5" x14ac:dyDescent="0.2">
      <c r="A162" s="46" t="s">
        <v>188</v>
      </c>
      <c r="B162" s="7"/>
      <c r="C162" s="25">
        <v>0.46813767283919799</v>
      </c>
      <c r="D162" s="14">
        <v>1.4151987350943109</v>
      </c>
      <c r="E162" s="14">
        <v>-8.4756121073505483E-2</v>
      </c>
      <c r="F162" s="14">
        <v>1.1282944626615485</v>
      </c>
      <c r="G162" s="14">
        <v>0.34750814153100312</v>
      </c>
      <c r="H162" s="14">
        <v>-3.5186140410327596E-2</v>
      </c>
      <c r="I162" s="14">
        <v>0.14611591336246346</v>
      </c>
      <c r="J162" s="14">
        <v>0.34190220480831196</v>
      </c>
      <c r="K162" s="14">
        <v>0.197544482415138</v>
      </c>
      <c r="L162" s="14">
        <v>0.22557929426359996</v>
      </c>
      <c r="M162" s="14">
        <v>6.3789682913999973E-2</v>
      </c>
      <c r="N162" s="14">
        <v>0.10832930367151801</v>
      </c>
      <c r="O162" s="14">
        <v>0.44276795804113633</v>
      </c>
      <c r="P162" s="14">
        <v>0.18895327932000008</v>
      </c>
      <c r="Q162" s="14">
        <v>0.36207003564715134</v>
      </c>
      <c r="R162" s="14">
        <v>1.1667007305199997</v>
      </c>
      <c r="S162" s="14">
        <v>0.169809832745</v>
      </c>
      <c r="T162" s="14">
        <v>0.34671082850459994</v>
      </c>
      <c r="U162" s="14">
        <v>0.88908439299999986</v>
      </c>
    </row>
    <row r="163" spans="1:21" ht="16.5" x14ac:dyDescent="0.2">
      <c r="A163" s="46" t="s">
        <v>189</v>
      </c>
      <c r="B163" s="7"/>
      <c r="C163" s="25">
        <v>632.54737475858656</v>
      </c>
      <c r="D163" s="14">
        <v>648.3008345672298</v>
      </c>
      <c r="E163" s="14">
        <v>667.81212156951824</v>
      </c>
      <c r="F163" s="14">
        <v>685.52387338573294</v>
      </c>
      <c r="G163" s="14">
        <v>680.00256051701797</v>
      </c>
      <c r="H163" s="14">
        <v>673.15715152321684</v>
      </c>
      <c r="I163" s="14">
        <v>726.72470613522592</v>
      </c>
      <c r="J163" s="14">
        <v>753.91007962142157</v>
      </c>
      <c r="K163" s="14">
        <v>773.37328557397962</v>
      </c>
      <c r="L163" s="14">
        <v>781.92322505735376</v>
      </c>
      <c r="M163" s="14">
        <v>751.27547881525948</v>
      </c>
      <c r="N163" s="14">
        <v>748.59567295380725</v>
      </c>
      <c r="O163" s="14">
        <v>768.84638459684379</v>
      </c>
      <c r="P163" s="14">
        <v>790.74562153681291</v>
      </c>
      <c r="Q163" s="14">
        <v>814.94772655239854</v>
      </c>
      <c r="R163" s="14">
        <v>837.05088300938257</v>
      </c>
      <c r="S163" s="14">
        <v>830.68757409825059</v>
      </c>
      <c r="T163" s="14">
        <v>842.46701186857797</v>
      </c>
      <c r="U163" s="14">
        <v>854.35613041194188</v>
      </c>
    </row>
    <row r="164" spans="1:21" ht="16.5" x14ac:dyDescent="0.2">
      <c r="A164" s="46" t="s">
        <v>190</v>
      </c>
      <c r="B164" s="7"/>
      <c r="C164" s="25">
        <v>740.80712629324853</v>
      </c>
      <c r="D164" s="14">
        <v>780.98895914032494</v>
      </c>
      <c r="E164" s="14">
        <v>778.06193149712817</v>
      </c>
      <c r="F164" s="14">
        <v>909.74866806921125</v>
      </c>
      <c r="G164" s="14">
        <v>797.93977797658647</v>
      </c>
      <c r="H164" s="14">
        <v>873.78882141580266</v>
      </c>
      <c r="I164" s="14">
        <v>941.21999918141887</v>
      </c>
      <c r="J164" s="14">
        <v>1090.6513212917755</v>
      </c>
      <c r="K164" s="14">
        <v>1087.2239237444021</v>
      </c>
      <c r="L164" s="14">
        <v>1088.1602520517899</v>
      </c>
      <c r="M164" s="14">
        <v>1009.2874397785813</v>
      </c>
      <c r="N164" s="14">
        <v>1182.3305832617236</v>
      </c>
      <c r="O164" s="14">
        <v>1088.8573762696742</v>
      </c>
      <c r="P164" s="14">
        <v>1121.7308036094655</v>
      </c>
      <c r="Q164" s="14">
        <v>1000.4701937290621</v>
      </c>
      <c r="R164" s="14">
        <v>1262.3554853767641</v>
      </c>
      <c r="S164" s="14">
        <v>1161.5861154185457</v>
      </c>
      <c r="T164" s="14">
        <v>1170.9702912223042</v>
      </c>
      <c r="U164" s="14">
        <v>1161.2263727705936</v>
      </c>
    </row>
    <row r="165" spans="1:21" ht="16.5" x14ac:dyDescent="0.2">
      <c r="A165" s="46" t="s">
        <v>191</v>
      </c>
      <c r="B165" s="7"/>
      <c r="C165" s="25">
        <v>149.77539278604283</v>
      </c>
      <c r="D165" s="14">
        <v>143.60130460284773</v>
      </c>
      <c r="E165" s="14">
        <v>152.38515382814651</v>
      </c>
      <c r="F165" s="14">
        <v>161.10667947789864</v>
      </c>
      <c r="G165" s="14">
        <v>155.54202960316545</v>
      </c>
      <c r="H165" s="14">
        <v>160.81748414640677</v>
      </c>
      <c r="I165" s="14">
        <v>162.01432389729942</v>
      </c>
      <c r="J165" s="14">
        <v>167.37260459177597</v>
      </c>
      <c r="K165" s="14">
        <v>166.59662507671138</v>
      </c>
      <c r="L165" s="14">
        <v>171.76733276864459</v>
      </c>
      <c r="M165" s="14">
        <v>164.68616033094872</v>
      </c>
      <c r="N165" s="14">
        <v>167.44064467613453</v>
      </c>
      <c r="O165" s="14">
        <v>172.61905909372794</v>
      </c>
      <c r="P165" s="14">
        <v>176.57389959390389</v>
      </c>
      <c r="Q165" s="14">
        <v>175.9883342218366</v>
      </c>
      <c r="R165" s="14">
        <v>187.46467126589235</v>
      </c>
      <c r="S165" s="14">
        <v>189.12034815739656</v>
      </c>
      <c r="T165" s="14">
        <v>201.0105344881872</v>
      </c>
      <c r="U165" s="14">
        <v>201.34107441995462</v>
      </c>
    </row>
    <row r="166" spans="1:21" ht="16.5" x14ac:dyDescent="0.2">
      <c r="A166" s="46" t="s">
        <v>192</v>
      </c>
      <c r="B166" s="7"/>
      <c r="C166" s="14">
        <v>5.0904648774537415</v>
      </c>
      <c r="D166" s="14">
        <v>0.81897093823111666</v>
      </c>
      <c r="E166" s="14">
        <v>4.9413878452852069</v>
      </c>
      <c r="F166" s="14">
        <v>59.101677684521334</v>
      </c>
      <c r="G166" s="14">
        <v>10.45724101127732</v>
      </c>
      <c r="H166" s="14">
        <v>1.5345480233153721</v>
      </c>
      <c r="I166" s="14">
        <v>7.7788461818138002</v>
      </c>
      <c r="J166" s="14">
        <v>1.0160170669403705</v>
      </c>
      <c r="K166" s="14">
        <v>0.37589399170299148</v>
      </c>
      <c r="L166" s="14">
        <v>-8.7603841257719015E-2</v>
      </c>
      <c r="M166" s="14">
        <v>4.4362443557186111E-2</v>
      </c>
      <c r="N166" s="14">
        <v>2.6136790445265801</v>
      </c>
      <c r="O166" s="14">
        <v>0.97401496899999995</v>
      </c>
      <c r="P166" s="14">
        <v>1.6606980979999999</v>
      </c>
      <c r="Q166" s="14">
        <v>1.9000989399111714</v>
      </c>
      <c r="R166" s="14">
        <v>0.42458239090960703</v>
      </c>
      <c r="S166" s="14">
        <v>2.2036136249812013</v>
      </c>
      <c r="T166" s="14">
        <v>0.46150258047719944</v>
      </c>
      <c r="U166" s="14">
        <v>3.9134027002796059</v>
      </c>
    </row>
    <row r="167" spans="1:21" ht="16.5" x14ac:dyDescent="0.2">
      <c r="A167" s="46" t="s">
        <v>193</v>
      </c>
      <c r="B167" s="7"/>
      <c r="C167" s="25">
        <v>19.457503611829171</v>
      </c>
      <c r="D167" s="14">
        <v>66.900880374697451</v>
      </c>
      <c r="E167" s="14">
        <v>33.055264508427392</v>
      </c>
      <c r="F167" s="14">
        <v>147.10246897911298</v>
      </c>
      <c r="G167" s="14">
        <v>35.185285686731127</v>
      </c>
      <c r="H167" s="14">
        <v>45.301090777532394</v>
      </c>
      <c r="I167" s="14">
        <v>36.841337677368983</v>
      </c>
      <c r="J167" s="14">
        <v>87.726966026547501</v>
      </c>
      <c r="K167" s="14">
        <v>49.243511749918454</v>
      </c>
      <c r="L167" s="14">
        <v>47.179006003912519</v>
      </c>
      <c r="M167" s="14">
        <v>77.933492854295878</v>
      </c>
      <c r="N167" s="14">
        <v>75.894808559376358</v>
      </c>
      <c r="O167" s="14">
        <v>62.887366918007075</v>
      </c>
      <c r="P167" s="14">
        <v>23.546086312711143</v>
      </c>
      <c r="Q167" s="14">
        <v>71.150761221574996</v>
      </c>
      <c r="R167" s="14">
        <v>89.444340111006483</v>
      </c>
      <c r="S167" s="14">
        <v>70.556903830414115</v>
      </c>
      <c r="T167" s="14">
        <v>94.086638716613834</v>
      </c>
      <c r="U167" s="14">
        <v>55.76709266835298</v>
      </c>
    </row>
    <row r="168" spans="1:21" ht="16.5" x14ac:dyDescent="0.2">
      <c r="A168" s="38" t="s">
        <v>194</v>
      </c>
      <c r="B168" s="7"/>
      <c r="C168" s="39">
        <f t="shared" ref="C168:U168" si="51">+SUM(C162:C163,C164:C167)</f>
        <v>1548.1460000000002</v>
      </c>
      <c r="D168" s="40">
        <f t="shared" si="51"/>
        <v>1642.0261483584254</v>
      </c>
      <c r="E168" s="40">
        <f t="shared" si="51"/>
        <v>1636.1711031274319</v>
      </c>
      <c r="F168" s="40">
        <f t="shared" si="51"/>
        <v>1963.7116620591387</v>
      </c>
      <c r="G168" s="40">
        <f t="shared" si="51"/>
        <v>1679.4744029363092</v>
      </c>
      <c r="H168" s="40">
        <f t="shared" si="51"/>
        <v>1754.5639097458636</v>
      </c>
      <c r="I168" s="40">
        <f t="shared" si="51"/>
        <v>1874.7253289864896</v>
      </c>
      <c r="J168" s="40">
        <f t="shared" si="51"/>
        <v>2101.0188908032692</v>
      </c>
      <c r="K168" s="40">
        <f t="shared" si="51"/>
        <v>2077.0107846191295</v>
      </c>
      <c r="L168" s="40">
        <f t="shared" si="51"/>
        <v>2089.1677913347066</v>
      </c>
      <c r="M168" s="40">
        <f t="shared" si="51"/>
        <v>2003.2907239055567</v>
      </c>
      <c r="N168" s="40">
        <f t="shared" si="51"/>
        <v>2176.9837177992399</v>
      </c>
      <c r="O168" s="40">
        <f t="shared" si="51"/>
        <v>2094.6269698052943</v>
      </c>
      <c r="P168" s="40">
        <f t="shared" si="51"/>
        <v>2114.4460624302133</v>
      </c>
      <c r="Q168" s="40">
        <f t="shared" si="51"/>
        <v>2064.8191847004305</v>
      </c>
      <c r="R168" s="40">
        <f t="shared" si="51"/>
        <v>2377.9066628844753</v>
      </c>
      <c r="S168" s="40">
        <f t="shared" si="51"/>
        <v>2254.3243649623332</v>
      </c>
      <c r="T168" s="40">
        <f t="shared" si="51"/>
        <v>2309.3426897046652</v>
      </c>
      <c r="U168" s="40">
        <f t="shared" si="51"/>
        <v>2277.4931573641229</v>
      </c>
    </row>
    <row r="169" spans="1:21" ht="5.25" customHeight="1" x14ac:dyDescent="0.2">
      <c r="A169" s="54"/>
      <c r="B169" s="7"/>
      <c r="C169" s="41"/>
      <c r="D169" s="41"/>
      <c r="E169" s="41"/>
      <c r="F169" s="41"/>
      <c r="G169" s="41"/>
      <c r="H169" s="41"/>
      <c r="I169" s="41"/>
      <c r="J169" s="41"/>
      <c r="K169" s="41"/>
      <c r="L169" s="41"/>
      <c r="M169" s="41"/>
      <c r="N169" s="41"/>
      <c r="O169" s="41"/>
      <c r="P169" s="41"/>
      <c r="Q169" s="41"/>
      <c r="R169" s="41"/>
      <c r="S169" s="41"/>
      <c r="T169" s="41"/>
      <c r="U169" s="41"/>
    </row>
    <row r="170" spans="1:21" ht="16.5" x14ac:dyDescent="0.2">
      <c r="A170" s="38" t="s">
        <v>195</v>
      </c>
      <c r="B170" s="7"/>
      <c r="C170" s="39">
        <f t="shared" ref="C170:U170" si="52">+SUM(C133,C142,C144,C148:C149,C159)-C168</f>
        <v>1577.6829081440001</v>
      </c>
      <c r="D170" s="40">
        <f t="shared" si="52"/>
        <v>1734.6649950267602</v>
      </c>
      <c r="E170" s="40">
        <f t="shared" si="52"/>
        <v>1825.8735935320194</v>
      </c>
      <c r="F170" s="40">
        <f t="shared" si="52"/>
        <v>1226.3955319257329</v>
      </c>
      <c r="G170" s="40">
        <f t="shared" si="52"/>
        <v>2016.1927161844351</v>
      </c>
      <c r="H170" s="40">
        <f t="shared" si="52"/>
        <v>1796.3814224510131</v>
      </c>
      <c r="I170" s="40">
        <f t="shared" si="52"/>
        <v>1433.4949899240889</v>
      </c>
      <c r="J170" s="40">
        <f t="shared" si="52"/>
        <v>1028.3020236362049</v>
      </c>
      <c r="K170" s="40">
        <f t="shared" si="52"/>
        <v>1579.8047762708411</v>
      </c>
      <c r="L170" s="40">
        <f t="shared" si="52"/>
        <v>811.15315601548264</v>
      </c>
      <c r="M170" s="40">
        <f t="shared" si="52"/>
        <v>476.89858307459326</v>
      </c>
      <c r="N170" s="40">
        <f t="shared" si="52"/>
        <v>619.69398234276741</v>
      </c>
      <c r="O170" s="40">
        <f t="shared" si="52"/>
        <v>698.79386708126776</v>
      </c>
      <c r="P170" s="40">
        <f t="shared" si="52"/>
        <v>764.48744942727899</v>
      </c>
      <c r="Q170" s="40">
        <f t="shared" si="52"/>
        <v>1071.0629666950799</v>
      </c>
      <c r="R170" s="40">
        <f t="shared" si="52"/>
        <v>603.55960485918195</v>
      </c>
      <c r="S170" s="40">
        <f t="shared" si="52"/>
        <v>1180.3802785920411</v>
      </c>
      <c r="T170" s="40">
        <f t="shared" si="52"/>
        <v>1267.456986368371</v>
      </c>
      <c r="U170" s="40">
        <f t="shared" si="52"/>
        <v>1248.0086974301689</v>
      </c>
    </row>
    <row r="171" spans="1:21" ht="16.5" x14ac:dyDescent="0.2">
      <c r="A171" s="46" t="s">
        <v>196</v>
      </c>
      <c r="B171" s="7"/>
      <c r="C171" s="25">
        <v>491.91405229139986</v>
      </c>
      <c r="D171" s="14">
        <v>440.44010068841214</v>
      </c>
      <c r="E171" s="14">
        <v>1011.7000738977185</v>
      </c>
      <c r="F171" s="14">
        <v>379.3732217259635</v>
      </c>
      <c r="G171" s="14">
        <v>632.95043982883078</v>
      </c>
      <c r="H171" s="14">
        <v>564.28992137280829</v>
      </c>
      <c r="I171" s="14">
        <v>547.82634086036478</v>
      </c>
      <c r="J171" s="14">
        <v>526.33760316908456</v>
      </c>
      <c r="K171" s="14">
        <v>532.55120871871156</v>
      </c>
      <c r="L171" s="14">
        <v>350.56121256046674</v>
      </c>
      <c r="M171" s="14">
        <v>176.2230496646329</v>
      </c>
      <c r="N171" s="14">
        <v>251.09897954607777</v>
      </c>
      <c r="O171" s="14">
        <v>225.65875054880848</v>
      </c>
      <c r="P171" s="14">
        <v>315.25945844132082</v>
      </c>
      <c r="Q171" s="14">
        <v>342.36463688964187</v>
      </c>
      <c r="R171" s="14">
        <v>63.144291127995125</v>
      </c>
      <c r="S171" s="14">
        <v>379.1047535999312</v>
      </c>
      <c r="T171" s="14">
        <v>383.79997849866891</v>
      </c>
      <c r="U171" s="14">
        <v>356.43556327726014</v>
      </c>
    </row>
    <row r="172" spans="1:21" ht="16.5" x14ac:dyDescent="0.2">
      <c r="A172" s="38" t="s">
        <v>23</v>
      </c>
      <c r="B172" s="7"/>
      <c r="C172" s="39">
        <v>1085.7688558526008</v>
      </c>
      <c r="D172" s="39">
        <v>1294.2248943383486</v>
      </c>
      <c r="E172" s="40">
        <v>814.17351963430099</v>
      </c>
      <c r="F172" s="40">
        <v>847.02231019976898</v>
      </c>
      <c r="G172" s="40">
        <v>1383.2422763556058</v>
      </c>
      <c r="H172" s="40">
        <v>1232.0915010782037</v>
      </c>
      <c r="I172" s="40">
        <v>885.66864906372382</v>
      </c>
      <c r="J172" s="40">
        <v>501.9644204671215</v>
      </c>
      <c r="K172" s="40">
        <v>1047.253567552126</v>
      </c>
      <c r="L172" s="40">
        <v>460.59194345501743</v>
      </c>
      <c r="M172" s="40">
        <v>300.67553340996102</v>
      </c>
      <c r="N172" s="40">
        <v>368.59500279669112</v>
      </c>
      <c r="O172" s="40">
        <v>473.13511653245928</v>
      </c>
      <c r="P172" s="40">
        <v>449.22799098595652</v>
      </c>
      <c r="Q172" s="40">
        <v>728.69832980543674</v>
      </c>
      <c r="R172" s="40">
        <v>540.41531373118653</v>
      </c>
      <c r="S172" s="40">
        <v>801.27552499210856</v>
      </c>
      <c r="T172" s="40">
        <v>883.65700786970319</v>
      </c>
      <c r="U172" s="40">
        <v>891.57313415291139</v>
      </c>
    </row>
    <row r="173" spans="1:21" ht="16.5" x14ac:dyDescent="0.2">
      <c r="A173" s="38" t="s">
        <v>24</v>
      </c>
      <c r="B173" s="7"/>
      <c r="C173" s="40">
        <v>365.82068771350743</v>
      </c>
      <c r="D173" s="39">
        <v>420.78733426727121</v>
      </c>
      <c r="E173" s="40">
        <v>396.08713328031484</v>
      </c>
      <c r="F173" s="40">
        <v>444.61703405464255</v>
      </c>
      <c r="G173" s="40">
        <v>1597.5120680059999</v>
      </c>
      <c r="H173" s="40">
        <v>153.99299999999999</v>
      </c>
      <c r="I173" s="40">
        <v>44.099000000129884</v>
      </c>
      <c r="J173" s="40">
        <v>-929.43787397812991</v>
      </c>
      <c r="K173" s="40">
        <v>0</v>
      </c>
      <c r="L173" s="40">
        <v>0</v>
      </c>
      <c r="M173" s="40">
        <v>0</v>
      </c>
      <c r="N173" s="40">
        <v>0</v>
      </c>
      <c r="O173" s="40">
        <v>0</v>
      </c>
      <c r="P173" s="40">
        <v>0</v>
      </c>
      <c r="Q173" s="40">
        <v>0</v>
      </c>
      <c r="R173" s="40">
        <v>0</v>
      </c>
      <c r="S173" s="40">
        <v>0</v>
      </c>
      <c r="T173" s="40">
        <v>0</v>
      </c>
      <c r="U173" s="40">
        <v>0</v>
      </c>
    </row>
    <row r="174" spans="1:21" ht="16.5" x14ac:dyDescent="0.2">
      <c r="A174" s="38" t="s">
        <v>25</v>
      </c>
      <c r="B174" s="7"/>
      <c r="C174" s="40">
        <f t="shared" ref="C174:U174" si="53">+C172+C173</f>
        <v>1451.5895435661082</v>
      </c>
      <c r="D174" s="39">
        <f t="shared" si="53"/>
        <v>1715.0122286056198</v>
      </c>
      <c r="E174" s="40">
        <f t="shared" si="53"/>
        <v>1210.2606529146158</v>
      </c>
      <c r="F174" s="40">
        <f t="shared" si="53"/>
        <v>1291.6393442544115</v>
      </c>
      <c r="G174" s="40">
        <f t="shared" si="53"/>
        <v>2980.7543443616059</v>
      </c>
      <c r="H174" s="40">
        <f t="shared" si="53"/>
        <v>1386.0845010782036</v>
      </c>
      <c r="I174" s="40">
        <f t="shared" si="53"/>
        <v>929.7676490638537</v>
      </c>
      <c r="J174" s="40">
        <f t="shared" si="53"/>
        <v>-427.47345351100842</v>
      </c>
      <c r="K174" s="40">
        <f t="shared" si="53"/>
        <v>1047.253567552126</v>
      </c>
      <c r="L174" s="40">
        <f t="shared" si="53"/>
        <v>460.59194345501743</v>
      </c>
      <c r="M174" s="40">
        <f t="shared" si="53"/>
        <v>300.67553340996102</v>
      </c>
      <c r="N174" s="40">
        <f t="shared" si="53"/>
        <v>368.59500279669112</v>
      </c>
      <c r="O174" s="40">
        <f t="shared" si="53"/>
        <v>473.13511653245928</v>
      </c>
      <c r="P174" s="40">
        <f t="shared" si="53"/>
        <v>449.22799098595652</v>
      </c>
      <c r="Q174" s="40">
        <f t="shared" si="53"/>
        <v>728.69832980543674</v>
      </c>
      <c r="R174" s="40">
        <f t="shared" si="53"/>
        <v>540.41531373118653</v>
      </c>
      <c r="S174" s="40">
        <f t="shared" si="53"/>
        <v>801.27552499210856</v>
      </c>
      <c r="T174" s="40">
        <f t="shared" si="53"/>
        <v>883.65700786970319</v>
      </c>
      <c r="U174" s="40">
        <f t="shared" si="53"/>
        <v>891.57313415291139</v>
      </c>
    </row>
    <row r="175" spans="1:21" ht="16.5" x14ac:dyDescent="0.2">
      <c r="A175" s="55" t="s">
        <v>26</v>
      </c>
      <c r="B175" s="7"/>
      <c r="C175" s="7"/>
      <c r="D175" s="7"/>
      <c r="E175" s="7"/>
      <c r="F175" s="7"/>
      <c r="G175" s="7"/>
      <c r="H175" s="7"/>
      <c r="I175" s="7"/>
      <c r="J175" s="7"/>
      <c r="K175" s="7"/>
      <c r="L175" s="7"/>
      <c r="M175" s="7"/>
      <c r="N175" s="7"/>
      <c r="O175" s="7"/>
      <c r="P175" s="7"/>
      <c r="Q175" s="7"/>
      <c r="R175" s="7"/>
      <c r="S175" s="7"/>
      <c r="T175" s="7"/>
      <c r="U175" s="7"/>
    </row>
    <row r="176" spans="1:21" ht="16.5" x14ac:dyDescent="0.2">
      <c r="A176" s="38" t="s">
        <v>27</v>
      </c>
      <c r="B176" s="7"/>
      <c r="C176" s="40">
        <v>659.822635210675</v>
      </c>
      <c r="D176" s="40">
        <v>765.52780994119917</v>
      </c>
      <c r="E176" s="40">
        <v>430.52997599668589</v>
      </c>
      <c r="F176" s="40">
        <v>514.88551603284714</v>
      </c>
      <c r="G176" s="40">
        <v>1251.0505785599905</v>
      </c>
      <c r="H176" s="40">
        <v>710.59556867285028</v>
      </c>
      <c r="I176" s="40">
        <v>521.66376164838903</v>
      </c>
      <c r="J176" s="40">
        <v>-97.062217026070698</v>
      </c>
      <c r="K176" s="40">
        <v>622.16373953197046</v>
      </c>
      <c r="L176" s="40">
        <v>294.38132528284586</v>
      </c>
      <c r="M176" s="40">
        <v>235.87230377175041</v>
      </c>
      <c r="N176" s="40">
        <v>285.69597430695291</v>
      </c>
      <c r="O176" s="40">
        <v>359.39206814985209</v>
      </c>
      <c r="P176" s="40">
        <v>244.89886724634994</v>
      </c>
      <c r="Q176" s="40">
        <v>313.03514028347797</v>
      </c>
      <c r="R176" s="40">
        <v>259.06366719705716</v>
      </c>
      <c r="S176" s="39">
        <v>439.75362779915281</v>
      </c>
      <c r="T176" s="39">
        <v>388.73834961733917</v>
      </c>
      <c r="U176" s="39">
        <v>370.57981331917375</v>
      </c>
    </row>
    <row r="177" spans="1:21" ht="16.5" x14ac:dyDescent="0.2">
      <c r="A177" s="54"/>
      <c r="B177" s="7"/>
      <c r="C177" s="41"/>
      <c r="D177" s="41"/>
      <c r="E177" s="41"/>
      <c r="F177" s="41"/>
      <c r="G177" s="41"/>
      <c r="H177" s="41"/>
      <c r="I177" s="41"/>
      <c r="J177" s="41"/>
      <c r="K177" s="41"/>
      <c r="L177" s="41"/>
      <c r="M177" s="41"/>
      <c r="N177" s="41"/>
      <c r="O177" s="41"/>
      <c r="P177" s="41"/>
      <c r="Q177" s="41"/>
      <c r="R177" s="41"/>
      <c r="S177" s="41"/>
      <c r="T177" s="41"/>
      <c r="U177" s="41"/>
    </row>
    <row r="178" spans="1:21" ht="16.5" x14ac:dyDescent="0.2">
      <c r="A178" s="38" t="s">
        <v>28</v>
      </c>
      <c r="B178" s="7"/>
      <c r="C178" s="40">
        <f t="shared" ref="C178:U178" si="54">+C174-C176</f>
        <v>791.7669083554332</v>
      </c>
      <c r="D178" s="40">
        <f t="shared" si="54"/>
        <v>949.48441866442067</v>
      </c>
      <c r="E178" s="40">
        <f t="shared" si="54"/>
        <v>779.73067691792994</v>
      </c>
      <c r="F178" s="40">
        <f t="shared" si="54"/>
        <v>776.75382822156439</v>
      </c>
      <c r="G178" s="40">
        <f t="shared" si="54"/>
        <v>1729.7037658016154</v>
      </c>
      <c r="H178" s="40">
        <f>+H174-H176</f>
        <v>675.48893240535335</v>
      </c>
      <c r="I178" s="40">
        <f t="shared" si="54"/>
        <v>408.10388741546467</v>
      </c>
      <c r="J178" s="40">
        <f t="shared" si="54"/>
        <v>-330.41123648493772</v>
      </c>
      <c r="K178" s="40">
        <f t="shared" si="54"/>
        <v>425.08982802015555</v>
      </c>
      <c r="L178" s="40">
        <f t="shared" si="54"/>
        <v>166.21061817217156</v>
      </c>
      <c r="M178" s="40">
        <f t="shared" si="54"/>
        <v>64.80322963821061</v>
      </c>
      <c r="N178" s="40">
        <f t="shared" si="54"/>
        <v>82.899028489738214</v>
      </c>
      <c r="O178" s="40">
        <f t="shared" si="54"/>
        <v>113.74304838260718</v>
      </c>
      <c r="P178" s="40">
        <f t="shared" si="54"/>
        <v>204.32912373960659</v>
      </c>
      <c r="Q178" s="40">
        <f t="shared" si="54"/>
        <v>415.66318952195877</v>
      </c>
      <c r="R178" s="40">
        <f t="shared" si="54"/>
        <v>281.35164653412937</v>
      </c>
      <c r="S178" s="40">
        <f t="shared" si="54"/>
        <v>361.52189719295575</v>
      </c>
      <c r="T178" s="40">
        <f t="shared" si="54"/>
        <v>494.91865825236403</v>
      </c>
      <c r="U178" s="39">
        <f t="shared" si="54"/>
        <v>520.9933208337377</v>
      </c>
    </row>
    <row r="179" spans="1:21" ht="16.5" x14ac:dyDescent="0.25">
      <c r="A179" s="22"/>
      <c r="B179" s="7"/>
      <c r="C179" s="56"/>
      <c r="D179" s="56"/>
      <c r="E179" s="56"/>
      <c r="F179" s="56"/>
      <c r="G179" s="56"/>
      <c r="H179" s="56"/>
      <c r="I179" s="56"/>
      <c r="J179" s="56"/>
      <c r="K179" s="56"/>
      <c r="L179" s="56"/>
      <c r="M179" s="56"/>
      <c r="N179" s="56"/>
      <c r="O179" s="56"/>
      <c r="P179" s="56"/>
      <c r="Q179" s="56"/>
      <c r="R179" s="56"/>
      <c r="S179" s="56"/>
      <c r="T179" s="56"/>
      <c r="U179" s="56"/>
    </row>
    <row r="180" spans="1:21" ht="16.5" x14ac:dyDescent="0.2">
      <c r="A180" s="38" t="s">
        <v>29</v>
      </c>
      <c r="B180" s="7"/>
      <c r="C180" s="40">
        <v>540.31475740784083</v>
      </c>
      <c r="D180" s="40">
        <v>660.25015422857655</v>
      </c>
      <c r="E180" s="40">
        <v>507.47445021346772</v>
      </c>
      <c r="F180" s="40">
        <v>471.13987066203157</v>
      </c>
      <c r="G180" s="40">
        <v>631.63101826842433</v>
      </c>
      <c r="H180" s="40">
        <v>569.34814964459304</v>
      </c>
      <c r="I180" s="40">
        <v>377.70846255791338</v>
      </c>
      <c r="J180" s="40">
        <v>310.20780375562776</v>
      </c>
      <c r="K180" s="40">
        <f t="shared" ref="K180:U180" si="55">+K178</f>
        <v>425.08982802015555</v>
      </c>
      <c r="L180" s="40">
        <f t="shared" si="55"/>
        <v>166.21061817217156</v>
      </c>
      <c r="M180" s="40">
        <f t="shared" si="55"/>
        <v>64.80322963821061</v>
      </c>
      <c r="N180" s="40">
        <f t="shared" si="55"/>
        <v>82.899028489738214</v>
      </c>
      <c r="O180" s="40">
        <f t="shared" si="55"/>
        <v>113.74304838260718</v>
      </c>
      <c r="P180" s="40">
        <f t="shared" si="55"/>
        <v>204.32912373960659</v>
      </c>
      <c r="Q180" s="40">
        <f t="shared" si="55"/>
        <v>415.66318952195877</v>
      </c>
      <c r="R180" s="40">
        <f t="shared" si="55"/>
        <v>281.35164653412937</v>
      </c>
      <c r="S180" s="40">
        <f t="shared" si="55"/>
        <v>361.52189719295575</v>
      </c>
      <c r="T180" s="40">
        <f t="shared" si="55"/>
        <v>494.91865825236403</v>
      </c>
      <c r="U180" s="40">
        <f t="shared" si="55"/>
        <v>520.9933208337377</v>
      </c>
    </row>
    <row r="181" spans="1:21" ht="16.5" x14ac:dyDescent="0.2">
      <c r="A181" s="38" t="s">
        <v>30</v>
      </c>
      <c r="B181" s="7"/>
      <c r="C181" s="40">
        <v>251.45214742204743</v>
      </c>
      <c r="D181" s="40">
        <v>289.23426794377389</v>
      </c>
      <c r="E181" s="40">
        <v>272.25622709336017</v>
      </c>
      <c r="F181" s="40">
        <v>305.61395718827578</v>
      </c>
      <c r="G181" s="40">
        <v>1098.0727469295853</v>
      </c>
      <c r="H181" s="40">
        <v>106.14033559990874</v>
      </c>
      <c r="I181" s="40">
        <v>30.395424854598335</v>
      </c>
      <c r="J181" s="40">
        <v>-640.61904023757177</v>
      </c>
      <c r="K181" s="40">
        <v>0</v>
      </c>
      <c r="L181" s="40">
        <v>0</v>
      </c>
      <c r="M181" s="40">
        <v>0</v>
      </c>
      <c r="N181" s="40">
        <v>0</v>
      </c>
      <c r="O181" s="40">
        <v>0</v>
      </c>
      <c r="P181" s="40">
        <v>0</v>
      </c>
      <c r="Q181" s="40">
        <v>0</v>
      </c>
      <c r="R181" s="40">
        <v>0</v>
      </c>
      <c r="S181" s="40">
        <v>0</v>
      </c>
      <c r="T181" s="40">
        <v>0</v>
      </c>
      <c r="U181" s="40">
        <v>0</v>
      </c>
    </row>
    <row r="182" spans="1:21" ht="16.5" x14ac:dyDescent="0.25">
      <c r="A182" s="22"/>
      <c r="B182" s="7"/>
      <c r="C182" s="7"/>
      <c r="D182" s="7"/>
      <c r="E182" s="7"/>
      <c r="F182" s="7"/>
      <c r="G182" s="7"/>
      <c r="H182" s="7"/>
      <c r="I182" s="7"/>
      <c r="J182" s="7"/>
      <c r="K182" s="7"/>
      <c r="L182" s="7"/>
      <c r="M182" s="7"/>
      <c r="N182" s="7"/>
      <c r="O182" s="7"/>
      <c r="P182" s="7"/>
      <c r="Q182" s="7"/>
      <c r="R182" s="7"/>
      <c r="S182" s="7"/>
      <c r="T182" s="7"/>
      <c r="U182" s="7"/>
    </row>
    <row r="183" spans="1:21" ht="16.5" customHeight="1" x14ac:dyDescent="0.2">
      <c r="A183" s="89" t="s">
        <v>31</v>
      </c>
      <c r="B183" s="7"/>
      <c r="C183" s="90" t="s">
        <v>197</v>
      </c>
      <c r="D183" s="88" t="s">
        <v>198</v>
      </c>
      <c r="E183" s="88" t="s">
        <v>199</v>
      </c>
      <c r="F183" s="88" t="s">
        <v>200</v>
      </c>
      <c r="G183" s="88" t="s">
        <v>201</v>
      </c>
      <c r="H183" s="88" t="s">
        <v>202</v>
      </c>
      <c r="I183" s="88" t="s">
        <v>203</v>
      </c>
      <c r="J183" s="88" t="s">
        <v>204</v>
      </c>
      <c r="K183" s="88" t="s">
        <v>205</v>
      </c>
      <c r="L183" s="88" t="s">
        <v>206</v>
      </c>
      <c r="M183" s="88" t="s">
        <v>4</v>
      </c>
      <c r="N183" s="88" t="s">
        <v>207</v>
      </c>
      <c r="O183" s="88" t="s">
        <v>208</v>
      </c>
      <c r="P183" s="88" t="s">
        <v>209</v>
      </c>
      <c r="Q183" s="88" t="s">
        <v>210</v>
      </c>
      <c r="R183" s="88" t="s">
        <v>211</v>
      </c>
      <c r="S183" s="88" t="s">
        <v>212</v>
      </c>
      <c r="T183" s="88" t="s">
        <v>213</v>
      </c>
      <c r="U183" s="88" t="s">
        <v>214</v>
      </c>
    </row>
    <row r="184" spans="1:21" ht="16.5" customHeight="1" x14ac:dyDescent="0.2">
      <c r="A184" s="89"/>
      <c r="B184" s="7"/>
      <c r="C184" s="90"/>
      <c r="D184" s="88"/>
      <c r="E184" s="88"/>
      <c r="F184" s="88"/>
      <c r="G184" s="88"/>
      <c r="H184" s="88"/>
      <c r="I184" s="88"/>
      <c r="J184" s="88"/>
      <c r="K184" s="88"/>
      <c r="L184" s="88"/>
      <c r="M184" s="88"/>
      <c r="N184" s="88"/>
      <c r="O184" s="88"/>
      <c r="P184" s="88"/>
      <c r="Q184" s="88"/>
      <c r="R184" s="88"/>
      <c r="S184" s="88"/>
      <c r="T184" s="88"/>
      <c r="U184" s="88"/>
    </row>
    <row r="185" spans="1:21" ht="16.5" customHeight="1" x14ac:dyDescent="0.2">
      <c r="A185" s="57" t="s">
        <v>32</v>
      </c>
      <c r="B185" s="7"/>
      <c r="C185" s="59">
        <f t="shared" ref="C185:U185" si="56">+C174/AVERAGE(B63:C63)*4</f>
        <v>1.7600159318203513E-2</v>
      </c>
      <c r="D185" s="59">
        <f t="shared" si="56"/>
        <v>2.0142154121679873E-2</v>
      </c>
      <c r="E185" s="59">
        <f t="shared" si="56"/>
        <v>1.3911902308623535E-2</v>
      </c>
      <c r="F185" s="59">
        <f t="shared" si="56"/>
        <v>1.4379326579805269E-2</v>
      </c>
      <c r="G185" s="59">
        <f t="shared" si="56"/>
        <v>3.7969697608211977E-2</v>
      </c>
      <c r="H185" s="59">
        <f t="shared" si="56"/>
        <v>2.0640265045493107E-2</v>
      </c>
      <c r="I185" s="59">
        <f t="shared" si="56"/>
        <v>1.3234955506046772E-2</v>
      </c>
      <c r="J185" s="59">
        <f t="shared" si="56"/>
        <v>-5.8811029410855246E-3</v>
      </c>
      <c r="K185" s="59">
        <f t="shared" si="56"/>
        <v>1.4093288238220893E-2</v>
      </c>
      <c r="L185" s="59">
        <f t="shared" si="56"/>
        <v>6.1727094773334082E-3</v>
      </c>
      <c r="M185" s="59">
        <f t="shared" si="56"/>
        <v>4.0305432607539099E-3</v>
      </c>
      <c r="N185" s="59">
        <f t="shared" si="56"/>
        <v>4.9153039022213005E-3</v>
      </c>
      <c r="O185" s="59">
        <f t="shared" si="56"/>
        <v>6.2247086357213712E-3</v>
      </c>
      <c r="P185" s="59">
        <f t="shared" si="56"/>
        <v>5.7638817810498812E-3</v>
      </c>
      <c r="Q185" s="59">
        <f t="shared" si="56"/>
        <v>9.1483068767644823E-3</v>
      </c>
      <c r="R185" s="59">
        <f t="shared" si="56"/>
        <v>6.6669068397705224E-3</v>
      </c>
      <c r="S185" s="59">
        <f t="shared" si="56"/>
        <v>9.7462527050142037E-3</v>
      </c>
      <c r="T185" s="59">
        <f t="shared" si="56"/>
        <v>1.0621696401809462E-2</v>
      </c>
      <c r="U185" s="59">
        <f t="shared" si="56"/>
        <v>1.0496207799454711E-2</v>
      </c>
    </row>
    <row r="186" spans="1:21" ht="16.5" customHeight="1" x14ac:dyDescent="0.2">
      <c r="A186" s="57" t="s">
        <v>33</v>
      </c>
      <c r="B186" s="7"/>
      <c r="C186" s="59">
        <f t="shared" ref="C186:U186" si="57">+C178/AVERAGE(B92:C92)*4</f>
        <v>0.15436562988407751</v>
      </c>
      <c r="D186" s="59">
        <f t="shared" si="57"/>
        <v>0.18158113828835759</v>
      </c>
      <c r="E186" s="59">
        <f t="shared" si="57"/>
        <v>0.14243390216330018</v>
      </c>
      <c r="F186" s="59">
        <f t="shared" si="57"/>
        <v>0.13701628631654916</v>
      </c>
      <c r="G186" s="59">
        <f t="shared" si="57"/>
        <v>0.35260543461900284</v>
      </c>
      <c r="H186" s="59">
        <f t="shared" si="57"/>
        <v>0.16550898191048893</v>
      </c>
      <c r="I186" s="59">
        <f t="shared" si="57"/>
        <v>9.8378271716025131E-2</v>
      </c>
      <c r="J186" s="59">
        <f t="shared" si="57"/>
        <v>-7.9536880829515016E-2</v>
      </c>
      <c r="K186" s="59">
        <f t="shared" si="57"/>
        <v>0.1041801616760067</v>
      </c>
      <c r="L186" s="59">
        <f t="shared" si="57"/>
        <v>4.0736466039501547E-2</v>
      </c>
      <c r="M186" s="59">
        <f t="shared" si="57"/>
        <v>1.5783034939364258E-2</v>
      </c>
      <c r="N186" s="59">
        <f t="shared" si="57"/>
        <v>1.9997199082361208E-2</v>
      </c>
      <c r="O186" s="59">
        <f t="shared" si="57"/>
        <v>2.7379234351989787E-2</v>
      </c>
      <c r="P186" s="59">
        <f t="shared" si="57"/>
        <v>4.9277478268772636E-2</v>
      </c>
      <c r="Q186" s="59">
        <f t="shared" si="57"/>
        <v>9.7498153510807095E-2</v>
      </c>
      <c r="R186" s="59">
        <f t="shared" si="57"/>
        <v>6.4608442164490396E-2</v>
      </c>
      <c r="S186" s="59">
        <f t="shared" si="57"/>
        <v>8.3530599464247082E-2</v>
      </c>
      <c r="T186" s="59">
        <f t="shared" si="57"/>
        <v>0.11334319500936156</v>
      </c>
      <c r="U186" s="59">
        <f t="shared" si="57"/>
        <v>0.11522990235246611</v>
      </c>
    </row>
    <row r="187" spans="1:21" ht="16.5" x14ac:dyDescent="0.2">
      <c r="A187" s="57" t="s">
        <v>34</v>
      </c>
      <c r="B187" s="7"/>
      <c r="C187" s="59">
        <f t="shared" ref="C187:U187" si="58">+C94/C63</f>
        <v>0.1044634908744891</v>
      </c>
      <c r="D187" s="59">
        <f t="shared" si="58"/>
        <v>0.10733247805706569</v>
      </c>
      <c r="E187" s="59">
        <f t="shared" si="58"/>
        <v>0.10918468452121027</v>
      </c>
      <c r="F187" s="59">
        <f t="shared" si="58"/>
        <v>0.10758033365268475</v>
      </c>
      <c r="G187" s="59">
        <f t="shared" si="58"/>
        <v>0.11335827366642173</v>
      </c>
      <c r="H187" s="59">
        <f t="shared" si="58"/>
        <v>0.10919359602408707</v>
      </c>
      <c r="I187" s="59">
        <f t="shared" si="58"/>
        <v>0.10891405387553779</v>
      </c>
      <c r="J187" s="59">
        <f t="shared" si="58"/>
        <v>0.10427122147213563</v>
      </c>
      <c r="K187" s="59">
        <f t="shared" si="58"/>
        <v>0.10113502199757653</v>
      </c>
      <c r="L187" s="59">
        <f t="shared" si="58"/>
        <v>0.10320691627361624</v>
      </c>
      <c r="M187" s="59">
        <f t="shared" si="58"/>
        <v>0.10294950089286345</v>
      </c>
      <c r="N187" s="59">
        <f t="shared" si="58"/>
        <v>0.10465584955312746</v>
      </c>
      <c r="O187" s="59">
        <f t="shared" si="58"/>
        <v>0.10126050023222126</v>
      </c>
      <c r="P187" s="59">
        <f t="shared" si="58"/>
        <v>0.10005579174927538</v>
      </c>
      <c r="Q187" s="59">
        <f t="shared" si="58"/>
        <v>0.10227434719054632</v>
      </c>
      <c r="R187" s="59">
        <f t="shared" si="58"/>
        <v>0.10114982123125492</v>
      </c>
      <c r="S187" s="59">
        <f t="shared" si="58"/>
        <v>9.8931530526591788E-2</v>
      </c>
      <c r="T187" s="59">
        <f t="shared" si="58"/>
        <v>0.10023944993399289</v>
      </c>
      <c r="U187" s="59">
        <f t="shared" si="58"/>
        <v>0.10073256761059092</v>
      </c>
    </row>
    <row r="188" spans="1:21" ht="16.5" x14ac:dyDescent="0.2">
      <c r="A188" s="57" t="s">
        <v>35</v>
      </c>
      <c r="B188" s="7"/>
      <c r="C188" s="59">
        <v>7.7593469994667014E-2</v>
      </c>
      <c r="D188" s="59">
        <v>8.0701961530928595E-2</v>
      </c>
      <c r="E188" s="59">
        <v>8.2836252246797762E-2</v>
      </c>
      <c r="F188" s="59">
        <v>8.1617077300703736E-2</v>
      </c>
      <c r="G188" s="59">
        <f t="shared" ref="G188:U188" si="59">+(G94-G52-G54)/(G63-G52-G54)</f>
        <v>9.9888370416299735E-2</v>
      </c>
      <c r="H188" s="59">
        <f t="shared" si="59"/>
        <v>9.6085213258598076E-2</v>
      </c>
      <c r="I188" s="59">
        <f t="shared" si="59"/>
        <v>9.5941812557751929E-2</v>
      </c>
      <c r="J188" s="59">
        <f t="shared" si="59"/>
        <v>9.1084874629976734E-2</v>
      </c>
      <c r="K188" s="59">
        <f t="shared" si="59"/>
        <v>8.796795349745018E-2</v>
      </c>
      <c r="L188" s="59">
        <f t="shared" si="59"/>
        <v>8.979643413470903E-2</v>
      </c>
      <c r="M188" s="59">
        <f t="shared" si="59"/>
        <v>8.9314827662468052E-2</v>
      </c>
      <c r="N188" s="59">
        <f t="shared" si="59"/>
        <v>9.0816064275833233E-2</v>
      </c>
      <c r="O188" s="59">
        <f t="shared" si="59"/>
        <v>8.7421641827009927E-2</v>
      </c>
      <c r="P188" s="59">
        <f t="shared" si="59"/>
        <v>8.6365427601050523E-2</v>
      </c>
      <c r="Q188" s="59">
        <f t="shared" si="59"/>
        <v>8.8528095394562897E-2</v>
      </c>
      <c r="R188" s="59">
        <f t="shared" si="59"/>
        <v>8.7280768036546233E-2</v>
      </c>
      <c r="S188" s="59">
        <f t="shared" si="59"/>
        <v>8.509678554843654E-2</v>
      </c>
      <c r="T188" s="59">
        <f t="shared" si="59"/>
        <v>8.6462863270389601E-2</v>
      </c>
      <c r="U188" s="59">
        <f t="shared" si="59"/>
        <v>8.7223273165803042E-2</v>
      </c>
    </row>
    <row r="189" spans="1:21" ht="16.5" x14ac:dyDescent="0.2">
      <c r="A189" s="57" t="s">
        <v>36</v>
      </c>
      <c r="B189" s="7"/>
      <c r="C189" s="59">
        <f t="shared" ref="C189:U189" si="60">+C93/C94</f>
        <v>0.42105268438706639</v>
      </c>
      <c r="D189" s="59">
        <f t="shared" si="60"/>
        <v>0.41931870724000014</v>
      </c>
      <c r="E189" s="59">
        <f t="shared" si="60"/>
        <v>0.41827166952140565</v>
      </c>
      <c r="F189" s="59">
        <f t="shared" si="60"/>
        <v>0.4169573604444255</v>
      </c>
      <c r="G189" s="59">
        <f t="shared" si="60"/>
        <v>0.45168987238490604</v>
      </c>
      <c r="H189" s="59">
        <f t="shared" si="60"/>
        <v>0.45538292392786361</v>
      </c>
      <c r="I189" s="59">
        <f t="shared" si="60"/>
        <v>0.46154284003312707</v>
      </c>
      <c r="J189" s="59">
        <f t="shared" si="60"/>
        <v>0.46573382366187061</v>
      </c>
      <c r="K189" s="59">
        <f t="shared" si="60"/>
        <v>0.46486010891077195</v>
      </c>
      <c r="L189" s="59">
        <f t="shared" si="60"/>
        <v>0.46474748345187578</v>
      </c>
      <c r="M189" s="59">
        <f t="shared" si="60"/>
        <v>0.46734107079788018</v>
      </c>
      <c r="N189" s="59">
        <f t="shared" si="60"/>
        <v>0.46756186714568526</v>
      </c>
      <c r="O189" s="59">
        <f t="shared" si="60"/>
        <v>0.47058353776352213</v>
      </c>
      <c r="P189" s="59">
        <f t="shared" si="60"/>
        <v>0.4722141799738736</v>
      </c>
      <c r="Q189" s="59">
        <f t="shared" si="60"/>
        <v>0.46977434357903458</v>
      </c>
      <c r="R189" s="59">
        <f t="shared" si="60"/>
        <v>0.47377196513311093</v>
      </c>
      <c r="S189" s="59">
        <f t="shared" si="60"/>
        <v>0.47375052458366712</v>
      </c>
      <c r="T189" s="59">
        <f t="shared" si="60"/>
        <v>0.47223203049868262</v>
      </c>
      <c r="U189" s="59">
        <f t="shared" si="60"/>
        <v>0.46843721283255135</v>
      </c>
    </row>
    <row r="190" spans="1:21" ht="16.5" x14ac:dyDescent="0.2">
      <c r="A190" s="57"/>
      <c r="B190" s="7"/>
      <c r="C190" s="7"/>
      <c r="D190" s="7"/>
      <c r="E190" s="7"/>
      <c r="F190" s="7"/>
      <c r="G190" s="7"/>
      <c r="H190" s="7"/>
      <c r="I190" s="7"/>
      <c r="J190" s="7"/>
      <c r="K190" s="7"/>
      <c r="L190" s="7"/>
      <c r="M190" s="7"/>
      <c r="N190" s="7"/>
      <c r="O190" s="7"/>
      <c r="P190" s="7"/>
      <c r="Q190" s="7"/>
      <c r="R190" s="7"/>
      <c r="S190" s="7"/>
      <c r="T190" s="7"/>
      <c r="U190" s="7"/>
    </row>
    <row r="191" spans="1:21" ht="16.5" x14ac:dyDescent="0.2">
      <c r="A191" s="60" t="s">
        <v>37</v>
      </c>
      <c r="B191" s="7"/>
      <c r="C191" s="7"/>
      <c r="D191" s="7"/>
      <c r="E191" s="7"/>
      <c r="F191" s="7"/>
      <c r="G191" s="7"/>
      <c r="H191" s="7"/>
      <c r="I191" s="7"/>
      <c r="J191" s="7"/>
      <c r="K191" s="7"/>
      <c r="L191" s="7"/>
      <c r="M191" s="7"/>
      <c r="N191" s="7"/>
      <c r="O191" s="7"/>
      <c r="P191" s="7"/>
      <c r="Q191" s="7"/>
      <c r="R191" s="7"/>
      <c r="S191" s="7"/>
      <c r="T191" s="7"/>
      <c r="U191" s="7"/>
    </row>
    <row r="192" spans="1:21" ht="16.5" x14ac:dyDescent="0.2">
      <c r="A192" s="57" t="s">
        <v>38</v>
      </c>
      <c r="B192" s="7"/>
      <c r="C192" s="62">
        <v>0.12809999999999999</v>
      </c>
      <c r="D192" s="63">
        <v>0.12477934779647826</v>
      </c>
      <c r="E192" s="62">
        <v>0.13500315606691571</v>
      </c>
      <c r="F192" s="63">
        <v>0.13540969160962946</v>
      </c>
      <c r="G192" s="63">
        <v>0.12998130729793544</v>
      </c>
      <c r="H192" s="63">
        <v>0.12810763018018675</v>
      </c>
      <c r="I192" s="63">
        <v>0.13066323984477257</v>
      </c>
      <c r="J192" s="63">
        <v>0.13082885515710194</v>
      </c>
      <c r="K192" s="63">
        <v>0.12644274152349402</v>
      </c>
      <c r="L192" s="63">
        <v>0.12839761560477078</v>
      </c>
      <c r="M192" s="63">
        <v>0.12642175295617364</v>
      </c>
      <c r="N192" s="63">
        <v>0.15368143940124512</v>
      </c>
      <c r="O192" s="63">
        <v>0.14374399758762915</v>
      </c>
      <c r="P192" s="63">
        <v>0.14437507706169608</v>
      </c>
      <c r="Q192" s="63">
        <v>0.14902204042740752</v>
      </c>
      <c r="R192" s="63">
        <v>0.15466894960614727</v>
      </c>
      <c r="S192" s="63">
        <v>0.14705899367448289</v>
      </c>
      <c r="T192" s="62">
        <v>0.1495282903203124</v>
      </c>
      <c r="U192" s="62">
        <v>0.15597332027723612</v>
      </c>
    </row>
    <row r="193" spans="1:21" ht="16.5" x14ac:dyDescent="0.2">
      <c r="A193" s="57" t="s">
        <v>39</v>
      </c>
      <c r="B193" s="7"/>
      <c r="C193" s="63">
        <v>0.13445765544257524</v>
      </c>
      <c r="D193" s="63">
        <v>0.13697594210982272</v>
      </c>
      <c r="E193" s="63">
        <v>0.11674221204300825</v>
      </c>
      <c r="F193" s="63">
        <v>0.12345721762553373</v>
      </c>
      <c r="G193" s="63">
        <v>0.10996881030916279</v>
      </c>
      <c r="H193" s="63">
        <v>0.1121786893771602</v>
      </c>
      <c r="I193" s="63">
        <v>0.1146105184654484</v>
      </c>
      <c r="J193" s="63">
        <v>0.12176882518341772</v>
      </c>
      <c r="K193" s="63">
        <v>0.11645555682396966</v>
      </c>
      <c r="L193" s="63">
        <v>0.11791347938276343</v>
      </c>
      <c r="M193" s="63">
        <v>0.11710149054244395</v>
      </c>
      <c r="N193" s="63">
        <v>0.12321338615022397</v>
      </c>
      <c r="O193" s="63">
        <v>0.11656131850346867</v>
      </c>
      <c r="P193" s="63">
        <v>0.13095472663272342</v>
      </c>
      <c r="Q193" s="63">
        <v>0.1323187166249003</v>
      </c>
      <c r="R193" s="63">
        <v>0.12848917647976618</v>
      </c>
      <c r="S193" s="63">
        <v>0.12882253709174843</v>
      </c>
      <c r="T193" s="62">
        <v>0.13103081102792483</v>
      </c>
      <c r="U193" s="62">
        <v>0.13341363466358863</v>
      </c>
    </row>
    <row r="194" spans="1:21" ht="16.5" x14ac:dyDescent="0.2">
      <c r="A194" s="57" t="s">
        <v>40</v>
      </c>
      <c r="B194" s="7"/>
      <c r="C194" s="63">
        <v>0.1333</v>
      </c>
      <c r="D194" s="63">
        <v>0.13519911470912396</v>
      </c>
      <c r="E194" s="63">
        <v>0.13498994866821243</v>
      </c>
      <c r="F194" s="63">
        <v>0.1448005067224612</v>
      </c>
      <c r="G194" s="63">
        <v>0.13217294337457733</v>
      </c>
      <c r="H194" s="63">
        <v>0.12948479410016547</v>
      </c>
      <c r="I194" s="63">
        <v>0.12413697671039213</v>
      </c>
      <c r="J194" s="63">
        <v>0.1229719632523229</v>
      </c>
      <c r="K194" s="63">
        <v>0.11852038845213263</v>
      </c>
      <c r="L194" s="63">
        <v>0.11374218868632908</v>
      </c>
      <c r="M194" s="63">
        <v>0.11647745816138311</v>
      </c>
      <c r="N194" s="63">
        <v>0.20374359160113761</v>
      </c>
      <c r="O194" s="63">
        <v>0.18893604303668365</v>
      </c>
      <c r="P194" s="63">
        <v>0.18228645532253379</v>
      </c>
      <c r="Q194" s="63">
        <v>0.19342616555409342</v>
      </c>
      <c r="R194" s="63">
        <v>0.19699798969050653</v>
      </c>
      <c r="S194" s="63">
        <v>0.20193406671803249</v>
      </c>
      <c r="T194" s="62">
        <v>0.20352811197951634</v>
      </c>
      <c r="U194" s="62">
        <v>0.20961431357732552</v>
      </c>
    </row>
    <row r="195" spans="1:21" ht="16.5" x14ac:dyDescent="0.2">
      <c r="A195" s="57" t="s">
        <v>41</v>
      </c>
      <c r="B195" s="7"/>
      <c r="C195" s="63">
        <v>0.1341</v>
      </c>
      <c r="D195" s="63">
        <v>0.13219184468231737</v>
      </c>
      <c r="E195" s="63">
        <v>0.13288917980846673</v>
      </c>
      <c r="F195" s="63">
        <v>0.12921496946326005</v>
      </c>
      <c r="G195" s="63">
        <v>0.1142202910423538</v>
      </c>
      <c r="H195" s="63">
        <v>0.11050420603188495</v>
      </c>
      <c r="I195" s="63">
        <v>0.10897229589836531</v>
      </c>
      <c r="J195" s="63">
        <v>0.11092876448322875</v>
      </c>
      <c r="K195" s="63">
        <v>0.1089895209572833</v>
      </c>
      <c r="L195" s="63">
        <v>0.11227062226079941</v>
      </c>
      <c r="M195" s="63">
        <v>0.11267319204045531</v>
      </c>
      <c r="N195" s="63">
        <v>0.11610904177480728</v>
      </c>
      <c r="O195" s="63">
        <v>0.11793708200041227</v>
      </c>
      <c r="P195" s="63">
        <v>0.11536124846502023</v>
      </c>
      <c r="Q195" s="63">
        <v>0.12497572927631671</v>
      </c>
      <c r="R195" s="63">
        <v>0.12091658015403565</v>
      </c>
      <c r="S195" s="63">
        <v>0.11813296921044812</v>
      </c>
      <c r="T195" s="62">
        <v>0.11312848171707639</v>
      </c>
      <c r="U195" s="62">
        <v>0.11722954133449429</v>
      </c>
    </row>
    <row r="196" spans="1:21" ht="16.5" x14ac:dyDescent="0.25">
      <c r="A196" s="64"/>
      <c r="B196" s="7"/>
      <c r="C196" s="7"/>
      <c r="D196" s="7"/>
      <c r="E196" s="7"/>
      <c r="F196" s="7"/>
      <c r="G196" s="7"/>
      <c r="H196" s="7"/>
      <c r="I196" s="7"/>
      <c r="J196" s="7"/>
      <c r="K196" s="7"/>
      <c r="L196" s="7"/>
      <c r="M196" s="7"/>
      <c r="N196" s="7"/>
      <c r="O196" s="7"/>
      <c r="P196" s="7"/>
      <c r="Q196" s="7"/>
      <c r="R196" s="7"/>
      <c r="S196" s="7"/>
      <c r="T196" s="7"/>
      <c r="U196" s="7"/>
    </row>
    <row r="197" spans="1:21" ht="16.5" x14ac:dyDescent="0.25">
      <c r="A197" s="64"/>
      <c r="B197" s="7"/>
      <c r="C197" s="7"/>
      <c r="D197" s="7"/>
      <c r="E197" s="7"/>
      <c r="F197" s="7"/>
      <c r="G197" s="7"/>
      <c r="H197" s="7"/>
      <c r="I197" s="7"/>
      <c r="J197" s="7"/>
      <c r="K197" s="7"/>
      <c r="L197" s="7"/>
      <c r="M197" s="7"/>
      <c r="N197" s="7"/>
      <c r="O197" s="7"/>
      <c r="P197" s="7"/>
      <c r="Q197" s="7"/>
      <c r="R197" s="7"/>
      <c r="S197" s="7"/>
      <c r="T197" s="7"/>
      <c r="U197" s="7"/>
    </row>
    <row r="198" spans="1:21" ht="16.5" customHeight="1" x14ac:dyDescent="0.2">
      <c r="A198" s="89" t="s">
        <v>42</v>
      </c>
      <c r="B198" s="7"/>
      <c r="C198" s="90" t="str">
        <f t="shared" ref="C198:U198" si="61">+C102</f>
        <v>Pro forma
 1Q21</v>
      </c>
      <c r="D198" s="88" t="str">
        <f t="shared" si="61"/>
        <v>Pro forma
 2Q21</v>
      </c>
      <c r="E198" s="88" t="str">
        <f t="shared" si="61"/>
        <v>Pro forma
 3Q21</v>
      </c>
      <c r="F198" s="88" t="str">
        <f t="shared" si="61"/>
        <v>Pro forma
 4Q21</v>
      </c>
      <c r="G198" s="88" t="str">
        <f t="shared" si="61"/>
        <v>1Q22</v>
      </c>
      <c r="H198" s="88" t="str">
        <f t="shared" si="61"/>
        <v>2Q22</v>
      </c>
      <c r="I198" s="88" t="str">
        <f t="shared" si="61"/>
        <v>3Q22</v>
      </c>
      <c r="J198" s="88" t="str">
        <f t="shared" si="61"/>
        <v>4Q22</v>
      </c>
      <c r="K198" s="88" t="str">
        <f t="shared" si="61"/>
        <v>1Q23</v>
      </c>
      <c r="L198" s="88" t="str">
        <f t="shared" si="61"/>
        <v>2Q23</v>
      </c>
      <c r="M198" s="88" t="str">
        <f t="shared" si="61"/>
        <v>3Q23</v>
      </c>
      <c r="N198" s="88" t="str">
        <f t="shared" si="61"/>
        <v>4Q23</v>
      </c>
      <c r="O198" s="88" t="str">
        <f t="shared" si="61"/>
        <v>1Q24</v>
      </c>
      <c r="P198" s="88" t="str">
        <f t="shared" si="61"/>
        <v>2Q24</v>
      </c>
      <c r="Q198" s="88" t="str">
        <f t="shared" si="61"/>
        <v>3Q24</v>
      </c>
      <c r="R198" s="88" t="str">
        <f t="shared" si="61"/>
        <v>4Q24</v>
      </c>
      <c r="S198" s="88" t="str">
        <f t="shared" si="61"/>
        <v>1Q25</v>
      </c>
      <c r="T198" s="88" t="str">
        <f t="shared" si="61"/>
        <v>2Q25</v>
      </c>
      <c r="U198" s="88" t="str">
        <f t="shared" si="61"/>
        <v>3Q25</v>
      </c>
    </row>
    <row r="199" spans="1:21" ht="16.5" customHeight="1" x14ac:dyDescent="0.2">
      <c r="A199" s="89"/>
      <c r="B199" s="7"/>
      <c r="C199" s="90"/>
      <c r="D199" s="88"/>
      <c r="E199" s="88"/>
      <c r="F199" s="88"/>
      <c r="G199" s="88"/>
      <c r="H199" s="88"/>
      <c r="I199" s="88"/>
      <c r="J199" s="88"/>
      <c r="K199" s="88"/>
      <c r="L199" s="88"/>
      <c r="M199" s="88"/>
      <c r="N199" s="88"/>
      <c r="O199" s="88"/>
      <c r="P199" s="88"/>
      <c r="Q199" s="88"/>
      <c r="R199" s="88"/>
      <c r="S199" s="88"/>
      <c r="T199" s="88"/>
      <c r="U199" s="88"/>
    </row>
    <row r="200" spans="1:21" ht="19.5" customHeight="1" x14ac:dyDescent="0.2">
      <c r="A200" s="60" t="s">
        <v>43</v>
      </c>
      <c r="B200" s="7"/>
      <c r="C200" s="65"/>
      <c r="D200" s="65"/>
      <c r="E200" s="65"/>
      <c r="F200" s="65"/>
      <c r="G200" s="65"/>
      <c r="H200" s="65"/>
      <c r="I200" s="65"/>
      <c r="J200" s="65"/>
      <c r="K200" s="65"/>
      <c r="L200" s="65"/>
      <c r="M200" s="65"/>
      <c r="N200" s="65"/>
      <c r="O200" s="65"/>
      <c r="P200" s="65"/>
      <c r="Q200" s="65"/>
      <c r="R200" s="65"/>
      <c r="S200" s="65"/>
      <c r="T200" s="65"/>
      <c r="U200" s="65"/>
    </row>
    <row r="201" spans="1:21" ht="19.5" customHeight="1" x14ac:dyDescent="0.2">
      <c r="A201" s="66" t="s">
        <v>44</v>
      </c>
      <c r="B201" s="7"/>
      <c r="C201" s="65"/>
      <c r="D201" s="65"/>
      <c r="E201" s="65"/>
      <c r="F201" s="65"/>
      <c r="G201" s="65">
        <f t="shared" ref="G201:U201" si="62">+((G270+(G278*(AVERAGE(F258:G258)/AVERAGE(F256:G256))))*4)/AVERAGE(F258:G258)</f>
        <v>3.5787702105111965E-2</v>
      </c>
      <c r="H201" s="65">
        <f t="shared" si="62"/>
        <v>3.9375772846251891E-2</v>
      </c>
      <c r="I201" s="65">
        <f t="shared" si="62"/>
        <v>4.3026890302332955E-2</v>
      </c>
      <c r="J201" s="65">
        <f t="shared" si="62"/>
        <v>4.4416828490884332E-2</v>
      </c>
      <c r="K201" s="65">
        <f t="shared" si="62"/>
        <v>4.3292576539654862E-2</v>
      </c>
      <c r="L201" s="65">
        <f t="shared" si="62"/>
        <v>4.9214418958966312E-2</v>
      </c>
      <c r="M201" s="65">
        <f t="shared" si="62"/>
        <v>4.8462395306051509E-2</v>
      </c>
      <c r="N201" s="65">
        <f t="shared" si="62"/>
        <v>4.8633374040527567E-2</v>
      </c>
      <c r="O201" s="65">
        <f t="shared" si="62"/>
        <v>4.7004078382425353E-2</v>
      </c>
      <c r="P201" s="65">
        <f t="shared" si="62"/>
        <v>4.4133964307333517E-2</v>
      </c>
      <c r="Q201" s="65">
        <f t="shared" si="62"/>
        <v>4.1139809300325715E-2</v>
      </c>
      <c r="R201" s="65">
        <f t="shared" si="62"/>
        <v>3.9958127649042441E-2</v>
      </c>
      <c r="S201" s="65">
        <f t="shared" si="62"/>
        <v>3.8658471482786456E-2</v>
      </c>
      <c r="T201" s="65">
        <f t="shared" si="62"/>
        <v>3.9282906214224131E-2</v>
      </c>
      <c r="U201" s="65">
        <f t="shared" si="62"/>
        <v>3.7246199681092267E-2</v>
      </c>
    </row>
    <row r="202" spans="1:21" ht="19.5" customHeight="1" x14ac:dyDescent="0.2">
      <c r="A202" s="66" t="s">
        <v>45</v>
      </c>
      <c r="B202" s="7"/>
      <c r="C202" s="65"/>
      <c r="D202" s="65"/>
      <c r="E202" s="65"/>
      <c r="F202" s="65"/>
      <c r="G202" s="65">
        <f t="shared" ref="G202:U202" si="63">+(((G271+G272)+(G278*((AVERAGE(F259:G259)+AVERAGE(F260:G260))/AVERAGE(F256:G256))))*4)/(AVERAGE(F259:G259)+AVERAGE(F260:G260))</f>
        <v>8.2150547330420667E-2</v>
      </c>
      <c r="H202" s="65">
        <f t="shared" si="63"/>
        <v>7.6259690782757558E-2</v>
      </c>
      <c r="I202" s="65">
        <f t="shared" si="63"/>
        <v>6.4049800526700937E-2</v>
      </c>
      <c r="J202" s="65">
        <f t="shared" si="63"/>
        <v>5.5054263523560909E-2</v>
      </c>
      <c r="K202" s="65">
        <f t="shared" si="63"/>
        <v>4.6107675149366915E-2</v>
      </c>
      <c r="L202" s="65">
        <f t="shared" si="63"/>
        <v>4.819447199444727E-2</v>
      </c>
      <c r="M202" s="65">
        <f t="shared" si="63"/>
        <v>5.066462166983153E-2</v>
      </c>
      <c r="N202" s="65">
        <f t="shared" si="63"/>
        <v>5.1239792837278912E-2</v>
      </c>
      <c r="O202" s="65">
        <f t="shared" si="63"/>
        <v>5.5325422606482613E-2</v>
      </c>
      <c r="P202" s="65">
        <f t="shared" si="63"/>
        <v>5.6771120170581536E-2</v>
      </c>
      <c r="Q202" s="65">
        <f t="shared" si="63"/>
        <v>5.9677428788260864E-2</v>
      </c>
      <c r="R202" s="65">
        <f t="shared" si="63"/>
        <v>6.2988624164831988E-2</v>
      </c>
      <c r="S202" s="65">
        <f t="shared" si="63"/>
        <v>6.4242154010866054E-2</v>
      </c>
      <c r="T202" s="65">
        <f t="shared" si="63"/>
        <v>6.5233737554305699E-2</v>
      </c>
      <c r="U202" s="65">
        <f t="shared" si="63"/>
        <v>6.4047797513467813E-2</v>
      </c>
    </row>
    <row r="203" spans="1:21" ht="19.5" customHeight="1" x14ac:dyDescent="0.2">
      <c r="A203" s="67" t="s">
        <v>46</v>
      </c>
      <c r="B203" s="7"/>
      <c r="C203" s="65"/>
      <c r="D203" s="65"/>
      <c r="E203" s="65"/>
      <c r="F203" s="65"/>
      <c r="G203" s="65">
        <f t="shared" ref="G203:U203" si="64">+((G269+(G278*(AVERAGE(F257:G257)/AVERAGE(F256:G256))))*4)/AVERAGE(F257:G257)</f>
        <v>5.5556373009035181E-2</v>
      </c>
      <c r="H203" s="65">
        <f t="shared" si="64"/>
        <v>5.5083762370083847E-2</v>
      </c>
      <c r="I203" s="65">
        <f t="shared" si="64"/>
        <v>5.2074841468437612E-2</v>
      </c>
      <c r="J203" s="65">
        <f t="shared" si="64"/>
        <v>4.9107387060473601E-2</v>
      </c>
      <c r="K203" s="65">
        <f t="shared" si="64"/>
        <v>4.4674162132812743E-2</v>
      </c>
      <c r="L203" s="65">
        <f t="shared" si="64"/>
        <v>4.8968553651628402E-2</v>
      </c>
      <c r="M203" s="65">
        <f t="shared" si="64"/>
        <v>4.9574447406311728E-2</v>
      </c>
      <c r="N203" s="65">
        <f t="shared" si="64"/>
        <v>4.9917162862508538E-2</v>
      </c>
      <c r="O203" s="65">
        <f t="shared" si="64"/>
        <v>5.0696858051629205E-2</v>
      </c>
      <c r="P203" s="65">
        <f t="shared" si="64"/>
        <v>4.9561990364589435E-2</v>
      </c>
      <c r="Q203" s="65">
        <f t="shared" si="64"/>
        <v>4.8971016340738971E-2</v>
      </c>
      <c r="R203" s="65">
        <f t="shared" si="64"/>
        <v>4.9589612878934583E-2</v>
      </c>
      <c r="S203" s="65">
        <f t="shared" si="64"/>
        <v>4.9479282348335228E-2</v>
      </c>
      <c r="T203" s="65">
        <f t="shared" si="64"/>
        <v>5.040443030642143E-2</v>
      </c>
      <c r="U203" s="65">
        <f t="shared" si="64"/>
        <v>4.876972251682641E-2</v>
      </c>
    </row>
    <row r="204" spans="1:21" ht="19.5" customHeight="1" x14ac:dyDescent="0.2">
      <c r="A204" s="67" t="s">
        <v>47</v>
      </c>
      <c r="B204" s="7"/>
      <c r="C204" s="65"/>
      <c r="D204" s="65"/>
      <c r="E204" s="65"/>
      <c r="F204" s="65"/>
      <c r="G204" s="65">
        <f t="shared" ref="G204:U204" si="65">+(((G274+G275)+(G278*((AVERAGE(F262:G262)+AVERAGE(F263:G263))/AVERAGE(F256:G256))))*4)/(AVERAGE(F262:G262)+AVERAGE(F263:G263))</f>
        <v>1.6690957679450103E-2</v>
      </c>
      <c r="H204" s="65">
        <f t="shared" si="65"/>
        <v>-1.5632611616978008E-3</v>
      </c>
      <c r="I204" s="65">
        <f t="shared" si="65"/>
        <v>2.8745990715508722E-3</v>
      </c>
      <c r="J204" s="65">
        <f t="shared" si="65"/>
        <v>3.6267710022083763E-3</v>
      </c>
      <c r="K204" s="65">
        <f t="shared" si="65"/>
        <v>3.2823382243916566E-2</v>
      </c>
      <c r="L204" s="65">
        <f t="shared" si="65"/>
        <v>8.0585777819199272E-3</v>
      </c>
      <c r="M204" s="65">
        <f t="shared" si="65"/>
        <v>-1.755258539913333E-2</v>
      </c>
      <c r="N204" s="65">
        <f t="shared" si="65"/>
        <v>1.4944970526337031E-2</v>
      </c>
      <c r="O204" s="65">
        <f t="shared" si="65"/>
        <v>-5.9281855567623165E-4</v>
      </c>
      <c r="P204" s="65">
        <f t="shared" si="65"/>
        <v>8.0082983867643953E-3</v>
      </c>
      <c r="Q204" s="65">
        <f t="shared" si="65"/>
        <v>3.1863299383072995E-2</v>
      </c>
      <c r="R204" s="65">
        <f t="shared" si="65"/>
        <v>-2.0558165380109263E-2</v>
      </c>
      <c r="S204" s="65">
        <f t="shared" si="65"/>
        <v>9.7579488817080059E-3</v>
      </c>
      <c r="T204" s="65">
        <f t="shared" si="65"/>
        <v>2.654295451811383E-2</v>
      </c>
      <c r="U204" s="65">
        <f t="shared" si="65"/>
        <v>4.219982917625948E-2</v>
      </c>
    </row>
    <row r="205" spans="1:21" ht="19.5" customHeight="1" x14ac:dyDescent="0.2">
      <c r="A205" s="57" t="s">
        <v>52</v>
      </c>
      <c r="B205" s="7"/>
      <c r="C205" s="65"/>
      <c r="D205" s="65"/>
      <c r="E205" s="65"/>
      <c r="F205" s="65"/>
      <c r="G205" s="65">
        <f t="shared" ref="G205:U205" si="66">+((G268+G278)*4)/AVERAGE(F256:G256)</f>
        <v>4.9120955301130399E-2</v>
      </c>
      <c r="H205" s="65">
        <f t="shared" si="66"/>
        <v>4.6027062533745937E-2</v>
      </c>
      <c r="I205" s="65">
        <f t="shared" si="66"/>
        <v>4.4602634723003708E-2</v>
      </c>
      <c r="J205" s="65">
        <f t="shared" si="66"/>
        <v>4.1832477466383751E-2</v>
      </c>
      <c r="K205" s="65">
        <f t="shared" si="66"/>
        <v>4.2749274030280053E-2</v>
      </c>
      <c r="L205" s="65">
        <f t="shared" si="66"/>
        <v>4.259977702898244E-2</v>
      </c>
      <c r="M205" s="65">
        <f t="shared" si="66"/>
        <v>3.9114446375103994E-2</v>
      </c>
      <c r="N205" s="65">
        <f t="shared" si="66"/>
        <v>4.4377217363882726E-2</v>
      </c>
      <c r="O205" s="65">
        <f t="shared" si="66"/>
        <v>4.223113100442008E-2</v>
      </c>
      <c r="P205" s="65">
        <f t="shared" si="66"/>
        <v>4.2501690657364699E-2</v>
      </c>
      <c r="Q205" s="65">
        <f t="shared" si="66"/>
        <v>4.5966228821350597E-2</v>
      </c>
      <c r="R205" s="65">
        <f t="shared" si="66"/>
        <v>3.668809801430184E-2</v>
      </c>
      <c r="S205" s="65">
        <f t="shared" si="66"/>
        <v>4.1958037115356256E-2</v>
      </c>
      <c r="T205" s="65">
        <f t="shared" si="66"/>
        <v>4.5723401651708788E-2</v>
      </c>
      <c r="U205" s="65">
        <f t="shared" si="66"/>
        <v>4.7416769653496275E-2</v>
      </c>
    </row>
    <row r="206" spans="1:21" ht="19.5" customHeight="1" x14ac:dyDescent="0.2">
      <c r="A206" s="60" t="s">
        <v>49</v>
      </c>
      <c r="B206" s="7"/>
      <c r="C206" s="65"/>
      <c r="D206" s="65"/>
      <c r="E206" s="65"/>
      <c r="F206" s="65"/>
      <c r="G206" s="65"/>
      <c r="H206" s="65"/>
      <c r="I206" s="65"/>
      <c r="J206" s="65"/>
      <c r="K206" s="65"/>
      <c r="L206" s="65"/>
      <c r="M206" s="65"/>
      <c r="N206" s="65"/>
      <c r="O206" s="65"/>
      <c r="P206" s="65"/>
      <c r="Q206" s="65"/>
      <c r="R206" s="65"/>
      <c r="S206" s="65"/>
      <c r="T206" s="65"/>
      <c r="U206" s="65"/>
    </row>
    <row r="207" spans="1:21" ht="19.5" customHeight="1" x14ac:dyDescent="0.2">
      <c r="A207" s="67" t="s">
        <v>50</v>
      </c>
      <c r="B207" s="7"/>
      <c r="C207" s="68">
        <f t="shared" ref="C207:U207" si="67">+(((C105-C110-((C245/C244)*C125)))/C245)*4</f>
        <v>5.4791837620042069E-2</v>
      </c>
      <c r="D207" s="68">
        <f t="shared" si="67"/>
        <v>5.4056623791789868E-2</v>
      </c>
      <c r="E207" s="68">
        <f t="shared" si="67"/>
        <v>5.2962599404061846E-2</v>
      </c>
      <c r="F207" s="68">
        <f t="shared" si="67"/>
        <v>5.1634237060492992E-2</v>
      </c>
      <c r="G207" s="68">
        <f t="shared" si="67"/>
        <v>4.9462433730004647E-2</v>
      </c>
      <c r="H207" s="68">
        <f t="shared" si="67"/>
        <v>4.7128123442719813E-2</v>
      </c>
      <c r="I207" s="68">
        <f t="shared" si="67"/>
        <v>4.2755368896544792E-2</v>
      </c>
      <c r="J207" s="68">
        <f t="shared" si="67"/>
        <v>3.7953050560708197E-2</v>
      </c>
      <c r="K207" s="68">
        <f t="shared" si="67"/>
        <v>3.1269001629815198E-2</v>
      </c>
      <c r="L207" s="68">
        <f t="shared" si="67"/>
        <v>3.5330422801958916E-2</v>
      </c>
      <c r="M207" s="68">
        <f t="shared" si="67"/>
        <v>3.696530283170732E-2</v>
      </c>
      <c r="N207" s="68">
        <f t="shared" si="67"/>
        <v>3.5654677349326883E-2</v>
      </c>
      <c r="O207" s="68">
        <f t="shared" si="67"/>
        <v>3.7072170021062126E-2</v>
      </c>
      <c r="P207" s="68">
        <f t="shared" si="67"/>
        <v>3.7049863146889253E-2</v>
      </c>
      <c r="Q207" s="68">
        <f t="shared" si="67"/>
        <v>3.5673136639872156E-2</v>
      </c>
      <c r="R207" s="68">
        <f t="shared" si="67"/>
        <v>3.7684274689567539E-2</v>
      </c>
      <c r="S207" s="68">
        <f t="shared" si="67"/>
        <v>3.8169579289178183E-2</v>
      </c>
      <c r="T207" s="68">
        <f t="shared" si="67"/>
        <v>3.8234555158755908E-2</v>
      </c>
      <c r="U207" s="68">
        <f t="shared" si="67"/>
        <v>3.6719071273445335E-2</v>
      </c>
    </row>
    <row r="208" spans="1:21" ht="19.5" customHeight="1" x14ac:dyDescent="0.2">
      <c r="A208" s="67" t="s">
        <v>51</v>
      </c>
      <c r="B208" s="7"/>
      <c r="C208" s="65">
        <f t="shared" ref="C208:U208" si="68">+(((C110+C111-(((C246+C247)/C244)*C125)))/(C246+C247))*4</f>
        <v>6.5384209835975433E-3</v>
      </c>
      <c r="D208" s="65">
        <f t="shared" si="68"/>
        <v>8.7736442659786685E-3</v>
      </c>
      <c r="E208" s="65">
        <f t="shared" si="68"/>
        <v>9.0482610210141211E-3</v>
      </c>
      <c r="F208" s="65">
        <f t="shared" si="68"/>
        <v>4.998381569346514E-3</v>
      </c>
      <c r="G208" s="65">
        <f t="shared" si="68"/>
        <v>1.7286798662766802E-2</v>
      </c>
      <c r="H208" s="65">
        <f t="shared" si="68"/>
        <v>7.1823976410635149E-3</v>
      </c>
      <c r="I208" s="65">
        <f t="shared" si="68"/>
        <v>1.1204541233500308E-2</v>
      </c>
      <c r="J208" s="65">
        <f t="shared" si="68"/>
        <v>7.7648703046292837E-3</v>
      </c>
      <c r="K208" s="65">
        <f t="shared" si="68"/>
        <v>1.2525689836226423E-2</v>
      </c>
      <c r="L208" s="65">
        <f t="shared" si="68"/>
        <v>-6.2215037421748352E-3</v>
      </c>
      <c r="M208" s="65">
        <f t="shared" si="68"/>
        <v>-9.4009148730042069E-3</v>
      </c>
      <c r="N208" s="65">
        <f t="shared" si="68"/>
        <v>-1.5119988583187522E-2</v>
      </c>
      <c r="O208" s="65">
        <f t="shared" si="68"/>
        <v>-6.3407899836228502E-3</v>
      </c>
      <c r="P208" s="65">
        <f t="shared" si="68"/>
        <v>1.6809615463204513E-2</v>
      </c>
      <c r="Q208" s="65">
        <f t="shared" si="68"/>
        <v>-6.6977514817062531E-3</v>
      </c>
      <c r="R208" s="65">
        <f t="shared" si="68"/>
        <v>1.5377385589146111E-2</v>
      </c>
      <c r="S208" s="65">
        <f t="shared" si="68"/>
        <v>3.1257491343535926E-3</v>
      </c>
      <c r="T208" s="65">
        <f t="shared" si="68"/>
        <v>1.1927467341524523E-2</v>
      </c>
      <c r="U208" s="65">
        <f t="shared" si="68"/>
        <v>2.2752371385280838E-3</v>
      </c>
    </row>
    <row r="209" spans="1:21" ht="19.5" customHeight="1" x14ac:dyDescent="0.2">
      <c r="A209" s="60" t="s">
        <v>48</v>
      </c>
      <c r="B209" s="7"/>
      <c r="C209" s="69">
        <f>+C126/SUM(SUM(AVERAGE(B31:C31),AVERAGE(B33:C33),AVERAGE(B34:C34),AVERAGE(B35:C35)),SUM(AVERAGE(B22:C22),AVERAGE(B25:C25)),AVERAGE(B32:C32))*4</f>
        <v>4.6555402063137484E-2</v>
      </c>
      <c r="D209" s="69">
        <f>+D126/SUM(SUM(AVERAGE(C31:D31),AVERAGE(C33:D33),AVERAGE(C34:D34),AVERAGE(C35:D35)),SUM(AVERAGE(C22:D22),AVERAGE(C25:D25)),AVERAGE(C32:D32))*4</f>
        <v>4.6234077272306585E-2</v>
      </c>
      <c r="E209" s="69">
        <f>+E126/SUM(SUM(AVERAGE(D31:E31),AVERAGE(D33:E33),AVERAGE(D34:E34),AVERAGE(D35:E35)),SUM(AVERAGE(D22:E22),AVERAGE(D25:E25)),AVERAGE(D32:E32))*4</f>
        <v>4.5185868878020077E-2</v>
      </c>
      <c r="F209" s="69">
        <f>+F126/SUM(SUM(AVERAGE(E31:F31),AVERAGE(E33:F33),AVERAGE(E34:F34),AVERAGE(E35:F35)),SUM(AVERAGE(E22:F22),AVERAGE(E25:F25)),AVERAGE(E32:F32))*4</f>
        <v>4.3339187506401033E-2</v>
      </c>
      <c r="G209" s="69">
        <f>+G126/SUM(SUM(AVERAGE(F31:G31),AVERAGE(F33:G33),AVERAGE(F34:G34),AVERAGE(F35:G35)),SUM(AVERAGE(F22:G22),AVERAGE(F25:G25)),AVERAGE(F32:G32))*4</f>
        <v>4.3694512996374467E-2</v>
      </c>
      <c r="H209" s="69">
        <f>+H126/SUM(SUM(AVERAGE(G31:H31),AVERAGE(G33:H33),AVERAGE(G34:H34),AVERAGE(G35:H35)),SUM(AVERAGE(G22:H22),AVERAGE(G25:H25)),AVERAGE(G32:H32))*4</f>
        <v>4.0269675444061639E-2</v>
      </c>
      <c r="I209" s="69">
        <f>+I126/SUM(SUM(AVERAGE(H31:I31),AVERAGE(H33:I33),AVERAGE(H34:I34),AVERAGE(H35:I35)),SUM(AVERAGE(H22:I22),AVERAGE(H25:I25)),AVERAGE(H32:I32))*4</f>
        <v>3.7649930173604303E-2</v>
      </c>
      <c r="J209" s="69">
        <f>+J126/SUM(SUM(AVERAGE(I31:J31),AVERAGE(I33:J33),AVERAGE(I34:J34),AVERAGE(I35:J35)),SUM(AVERAGE(I22:J22),AVERAGE(I25:J25)),AVERAGE(I32:J32))*4</f>
        <v>3.2918257049831E-2</v>
      </c>
      <c r="K209" s="69">
        <f>+K126/SUM(SUM(AVERAGE(J31:K31),AVERAGE(J33:K33),AVERAGE(J34:K34),AVERAGE(J35:K35)),SUM(AVERAGE(J22:K22),AVERAGE(J25:K25)),AVERAGE(J32:K32))*4</f>
        <v>2.815372213462734E-2</v>
      </c>
      <c r="L209" s="69">
        <f>+L126/SUM(SUM(AVERAGE(K31:L31),AVERAGE(K33:L33),AVERAGE(K34:L34),AVERAGE(K35:L35)),SUM(AVERAGE(K22:L22),AVERAGE(K25:L25)),AVERAGE(K32:L32))*4</f>
        <v>2.8727681025716968E-2</v>
      </c>
      <c r="M209" s="69">
        <f>+M126/SUM(SUM(AVERAGE(L31:M31),AVERAGE(L33:M33),AVERAGE(L34:M34),AVERAGE(L35:M35)),SUM(AVERAGE(L22:M22),AVERAGE(L25:M25)),AVERAGE(L32:M32))*4</f>
        <v>2.9669447549168497E-2</v>
      </c>
      <c r="N209" s="69">
        <f>+N126/SUM(SUM(AVERAGE(M31:N31),AVERAGE(M33:N33),AVERAGE(M34:N34),AVERAGE(M35:N35)),SUM(AVERAGE(M22:N22),AVERAGE(M25:N25)),AVERAGE(M32:N32))*4</f>
        <v>2.7790897933578546E-2</v>
      </c>
      <c r="O209" s="69">
        <f>+O126/SUM(SUM(AVERAGE(N31:O31),AVERAGE(N33:O33),AVERAGE(N34:O34),AVERAGE(N35:O35)),SUM(AVERAGE(N22:O22),AVERAGE(N25:O25)),AVERAGE(N32:O32))*4</f>
        <v>3.0295390494912946E-2</v>
      </c>
      <c r="P209" s="69">
        <f>+P126/SUM(SUM(AVERAGE(O31:P31),AVERAGE(O33:P33),AVERAGE(O34:P34),AVERAGE(O35:P35)),SUM(AVERAGE(O22:P22),AVERAGE(O25:P25)),AVERAGE(O32:P32))*4</f>
        <v>3.3808195851556783E-2</v>
      </c>
      <c r="Q209" s="69">
        <f>+Q126/SUM(SUM(AVERAGE(P31:Q31),AVERAGE(P33:Q33),AVERAGE(P34:Q34),AVERAGE(P35:Q35)),SUM(AVERAGE(P22:Q22),AVERAGE(P25:Q25)),AVERAGE(P32:Q32))*4</f>
        <v>2.8975967927434339E-2</v>
      </c>
      <c r="R209" s="69">
        <f>+R126/SUM(SUM(AVERAGE(Q31:R31),AVERAGE(Q33:R33),AVERAGE(Q34:R34),AVERAGE(Q35:R35)),SUM(AVERAGE(Q22:R22),AVERAGE(Q25:R25)),AVERAGE(Q32:R32))*4</f>
        <v>3.4157530426545388E-2</v>
      </c>
      <c r="S209" s="69">
        <f>+S126/SUM(SUM(AVERAGE(R31:S31),AVERAGE(R33:S33),AVERAGE(R34:S34),AVERAGE(R35:S35)),SUM(AVERAGE(R22:S22),AVERAGE(R25:S25)),AVERAGE(R32:S32))*4</f>
        <v>3.2437797898025471E-2</v>
      </c>
      <c r="T209" s="70">
        <f>+T126/SUM(SUM(AVERAGE(S31:T31),AVERAGE(S33:T33),AVERAGE(S34:T34),AVERAGE(S35:T35)),SUM(AVERAGE(S22:T22),AVERAGE(S25:T25)),AVERAGE(S32:T32))*4</f>
        <v>3.3858526002267401E-2</v>
      </c>
      <c r="U209" s="69">
        <f>+U126/SUM(SUM(AVERAGE(T31:U31),AVERAGE(T33:U33),AVERAGE(T34:U34),AVERAGE(T35:U35)),SUM(AVERAGE(T22:U22),AVERAGE(T25:U25)),AVERAGE(T32:U32))*4</f>
        <v>3.0899074759263102E-2</v>
      </c>
    </row>
    <row r="210" spans="1:21" ht="19.5" customHeight="1" x14ac:dyDescent="0.2">
      <c r="A210" s="66" t="s">
        <v>44</v>
      </c>
      <c r="B210" s="7"/>
      <c r="C210" s="65">
        <f t="shared" ref="C210:U210" si="69">+(C106-(C125*(AVERAGE(B31:C31)/C250)))*4/(AVERAGE(B31:C31))</f>
        <v>3.0833709051445918E-2</v>
      </c>
      <c r="D210" s="65">
        <f t="shared" si="69"/>
        <v>2.9658469337325532E-2</v>
      </c>
      <c r="E210" s="65">
        <f t="shared" si="69"/>
        <v>2.9567372011082792E-2</v>
      </c>
      <c r="F210" s="65">
        <f t="shared" si="69"/>
        <v>2.9048087135081876E-2</v>
      </c>
      <c r="G210" s="65">
        <f t="shared" si="69"/>
        <v>3.1233465623271988E-2</v>
      </c>
      <c r="H210" s="65">
        <f t="shared" si="69"/>
        <v>3.2939154443660801E-2</v>
      </c>
      <c r="I210" s="65">
        <f t="shared" si="69"/>
        <v>3.5993389548270055E-2</v>
      </c>
      <c r="J210" s="65">
        <f t="shared" si="69"/>
        <v>3.6076279139329592E-2</v>
      </c>
      <c r="K210" s="65">
        <f t="shared" si="69"/>
        <v>3.3664206427357284E-2</v>
      </c>
      <c r="L210" s="65">
        <f t="shared" si="69"/>
        <v>3.9760900899458544E-2</v>
      </c>
      <c r="M210" s="65">
        <f t="shared" si="69"/>
        <v>3.9827613266729539E-2</v>
      </c>
      <c r="N210" s="65">
        <f t="shared" si="69"/>
        <v>4.0122412892472439E-2</v>
      </c>
      <c r="O210" s="65">
        <f t="shared" si="69"/>
        <v>3.8706003852245693E-2</v>
      </c>
      <c r="P210" s="65">
        <f t="shared" si="69"/>
        <v>3.6955351102661446E-2</v>
      </c>
      <c r="Q210" s="65">
        <f t="shared" si="69"/>
        <v>3.4133944298031009E-2</v>
      </c>
      <c r="R210" s="65">
        <f t="shared" si="69"/>
        <v>3.4966251683863553E-2</v>
      </c>
      <c r="S210" s="65">
        <f t="shared" si="69"/>
        <v>3.3601033487158954E-2</v>
      </c>
      <c r="T210" s="65">
        <f t="shared" si="69"/>
        <v>3.3519922836486776E-2</v>
      </c>
      <c r="U210" s="65">
        <f t="shared" si="69"/>
        <v>3.2809091851601267E-2</v>
      </c>
    </row>
    <row r="211" spans="1:21" ht="19.5" customHeight="1" x14ac:dyDescent="0.2">
      <c r="A211" s="66" t="s">
        <v>45</v>
      </c>
      <c r="B211" s="7"/>
      <c r="C211" s="65">
        <f t="shared" ref="C211:U211" si="70">+((C109+C107)-(C125*((AVERAGE(B34:C34)+AVERAGE(B33:C33))/C250)))*4/((AVERAGE(B34:C34)+AVERAGE(B33:C33)))</f>
        <v>9.1971931094624121E-2</v>
      </c>
      <c r="D211" s="65">
        <f t="shared" si="70"/>
        <v>9.1355803553136591E-2</v>
      </c>
      <c r="E211" s="65">
        <f t="shared" si="70"/>
        <v>8.8210858756277072E-2</v>
      </c>
      <c r="F211" s="65">
        <f t="shared" si="70"/>
        <v>8.5162039295461581E-2</v>
      </c>
      <c r="G211" s="65">
        <f t="shared" si="70"/>
        <v>7.7343816700453732E-2</v>
      </c>
      <c r="H211" s="65">
        <f t="shared" si="70"/>
        <v>7.0664304997554619E-2</v>
      </c>
      <c r="I211" s="65">
        <f t="shared" si="70"/>
        <v>5.8013692874713085E-2</v>
      </c>
      <c r="J211" s="65">
        <f t="shared" si="70"/>
        <v>4.826250269580535E-2</v>
      </c>
      <c r="K211" s="65">
        <f t="shared" si="70"/>
        <v>3.8457831221890088E-2</v>
      </c>
      <c r="L211" s="65">
        <f t="shared" si="70"/>
        <v>4.084524360431957E-2</v>
      </c>
      <c r="M211" s="65">
        <f t="shared" si="70"/>
        <v>4.4564211376501121E-2</v>
      </c>
      <c r="N211" s="65">
        <f t="shared" si="70"/>
        <v>4.2490229321342304E-2</v>
      </c>
      <c r="O211" s="65">
        <f t="shared" si="70"/>
        <v>4.82262168359971E-2</v>
      </c>
      <c r="P211" s="65">
        <f t="shared" si="70"/>
        <v>5.043175666368574E-2</v>
      </c>
      <c r="Q211" s="65">
        <f t="shared" si="70"/>
        <v>5.2728710471083275E-2</v>
      </c>
      <c r="R211" s="65">
        <f t="shared" si="70"/>
        <v>5.6409252902895904E-2</v>
      </c>
      <c r="S211" s="65">
        <f t="shared" si="70"/>
        <v>5.8312848819204566E-2</v>
      </c>
      <c r="T211" s="65">
        <f t="shared" si="70"/>
        <v>5.9589836420133831E-2</v>
      </c>
      <c r="U211" s="65">
        <f t="shared" si="70"/>
        <v>5.9053688506999914E-2</v>
      </c>
    </row>
    <row r="212" spans="1:21" ht="19.5" customHeight="1" x14ac:dyDescent="0.2">
      <c r="A212" s="67" t="s">
        <v>46</v>
      </c>
      <c r="B212" s="7"/>
      <c r="C212" s="68">
        <f t="shared" ref="C212:U212" si="71">+(((C105-C110-((C251/C250)*C125)))/C251)*4</f>
        <v>5.6154801277616892E-2</v>
      </c>
      <c r="D212" s="68">
        <f t="shared" si="71"/>
        <v>5.5427794345390455E-2</v>
      </c>
      <c r="E212" s="68">
        <f t="shared" si="71"/>
        <v>5.4346833815296994E-2</v>
      </c>
      <c r="F212" s="68">
        <f t="shared" si="71"/>
        <v>5.3057414579939108E-2</v>
      </c>
      <c r="G212" s="68">
        <f t="shared" si="71"/>
        <v>5.1064985277725558E-2</v>
      </c>
      <c r="H212" s="68">
        <f t="shared" si="71"/>
        <v>4.914297015586503E-2</v>
      </c>
      <c r="I212" s="68">
        <f t="shared" si="71"/>
        <v>4.5547828576762449E-2</v>
      </c>
      <c r="J212" s="68">
        <f t="shared" si="71"/>
        <v>4.1451033493280345E-2</v>
      </c>
      <c r="K212" s="68">
        <f t="shared" si="71"/>
        <v>3.5885827188860207E-2</v>
      </c>
      <c r="L212" s="68">
        <f t="shared" si="71"/>
        <v>4.0401023635526202E-2</v>
      </c>
      <c r="M212" s="68">
        <f t="shared" si="71"/>
        <v>4.2015737794614164E-2</v>
      </c>
      <c r="N212" s="68">
        <f t="shared" si="71"/>
        <v>4.1309018712937878E-2</v>
      </c>
      <c r="O212" s="68">
        <f t="shared" si="71"/>
        <v>4.2922912110673686E-2</v>
      </c>
      <c r="P212" s="68">
        <f t="shared" si="71"/>
        <v>4.2765022984569252E-2</v>
      </c>
      <c r="Q212" s="68">
        <f t="shared" si="71"/>
        <v>4.2036196933128149E-2</v>
      </c>
      <c r="R212" s="68">
        <f t="shared" si="71"/>
        <v>4.3985907404235546E-2</v>
      </c>
      <c r="S212" s="68">
        <f t="shared" si="71"/>
        <v>4.411332318877384E-2</v>
      </c>
      <c r="T212" s="68">
        <f t="shared" si="71"/>
        <v>4.4764682816010752E-2</v>
      </c>
      <c r="U212" s="68">
        <f t="shared" si="71"/>
        <v>4.4175744665700914E-2</v>
      </c>
    </row>
    <row r="213" spans="1:21" ht="19.5" customHeight="1" x14ac:dyDescent="0.2">
      <c r="A213" s="67" t="s">
        <v>47</v>
      </c>
      <c r="B213" s="7"/>
      <c r="C213" s="65">
        <f t="shared" ref="C213:U213" si="72">+(((C110+C111+C146-(((C252+C253)/C250)*C125)))/(C252+C253))*4</f>
        <v>-1.2118474276832658E-2</v>
      </c>
      <c r="D213" s="65">
        <f t="shared" si="72"/>
        <v>1.1304861348277627E-2</v>
      </c>
      <c r="E213" s="65">
        <f t="shared" si="72"/>
        <v>9.8467032499816188E-3</v>
      </c>
      <c r="F213" s="65">
        <f t="shared" si="72"/>
        <v>4.6290816800264442E-3</v>
      </c>
      <c r="G213" s="65">
        <f t="shared" si="72"/>
        <v>6.170375663308845E-3</v>
      </c>
      <c r="H213" s="65">
        <f t="shared" si="72"/>
        <v>-1.2544968907985208E-2</v>
      </c>
      <c r="I213" s="65">
        <f t="shared" si="72"/>
        <v>-6.5307605439776147E-3</v>
      </c>
      <c r="J213" s="65">
        <f t="shared" si="72"/>
        <v>1.0126983492822171E-2</v>
      </c>
      <c r="K213" s="65">
        <f t="shared" si="72"/>
        <v>4.1743794698464419E-2</v>
      </c>
      <c r="L213" s="65">
        <f t="shared" si="72"/>
        <v>8.9687296789721285E-3</v>
      </c>
      <c r="M213" s="65">
        <f t="shared" si="72"/>
        <v>-2.9824052519222845E-2</v>
      </c>
      <c r="N213" s="65">
        <f t="shared" si="72"/>
        <v>2.7298032045289109E-2</v>
      </c>
      <c r="O213" s="65">
        <f t="shared" si="72"/>
        <v>-2.2578800349823481E-3</v>
      </c>
      <c r="P213" s="65">
        <f t="shared" si="72"/>
        <v>2.0605256046788219E-3</v>
      </c>
      <c r="Q213" s="65">
        <f t="shared" si="72"/>
        <v>2.7568810445392982E-2</v>
      </c>
      <c r="R213" s="65">
        <f t="shared" si="72"/>
        <v>-2.6086738613008007E-2</v>
      </c>
      <c r="S213" s="65">
        <f t="shared" si="72"/>
        <v>3.112362154496659E-3</v>
      </c>
      <c r="T213" s="65">
        <f t="shared" si="72"/>
        <v>2.4364838128065943E-2</v>
      </c>
      <c r="U213" s="65">
        <f t="shared" si="72"/>
        <v>4.127124476765795E-2</v>
      </c>
    </row>
    <row r="214" spans="1:21" ht="19.5" customHeight="1" x14ac:dyDescent="0.2">
      <c r="A214" s="60" t="s">
        <v>52</v>
      </c>
      <c r="B214" s="7"/>
      <c r="C214" s="69">
        <f>+SUM(C126,C146)/SUM(SUM(AVERAGE(B31:C31),AVERAGE(B33:C33),AVERAGE(B34:C34),AVERAGE(B35:C35)),SUM(SUM(AVERAGE(B22:C22),AVERAGE(B25:C25)),SUM(AVERAGE(B17:C17),AVERAGE(B18:C18))),AVERAGE(B32:C32))*4</f>
        <v>4.1408939826889139E-2</v>
      </c>
      <c r="D214" s="69">
        <f>+SUM(D126,D146)/SUM(SUM(AVERAGE(C31:D31),AVERAGE(C33:D33),AVERAGE(C34:D34),AVERAGE(C35:D35)),SUM(SUM(AVERAGE(C22:D22),AVERAGE(C25:D25)),SUM(AVERAGE(C17:D17),AVERAGE(C18:D18))),AVERAGE(C32:D32))*4</f>
        <v>4.5775590106338304E-2</v>
      </c>
      <c r="E214" s="69">
        <f>+SUM(E126,E146)/SUM(SUM(AVERAGE(D31:E31),AVERAGE(D33:E33),AVERAGE(D34:E34),AVERAGE(D35:E35)),SUM(SUM(AVERAGE(D22:E22),AVERAGE(D25:E25)),SUM(AVERAGE(D17:E17),AVERAGE(D18:E18))),AVERAGE(D32:E32))*4</f>
        <v>4.4505367128542007E-2</v>
      </c>
      <c r="F214" s="69">
        <f>+SUM(F126,F146)/SUM(SUM(AVERAGE(E31:F31),AVERAGE(E33:F33),AVERAGE(E34:F34),AVERAGE(E35:F35)),SUM(SUM(AVERAGE(E22:F22),AVERAGE(E25:F25)),SUM(AVERAGE(E17:F17),AVERAGE(E18:F18))),AVERAGE(E32:F32))*4</f>
        <v>4.2444812325466937E-2</v>
      </c>
      <c r="G214" s="69">
        <f>+SUM(G126,G146)/SUM(SUM(AVERAGE(F31:G31),AVERAGE(F33:G33),AVERAGE(F34:G34),AVERAGE(F35:G35)),SUM(SUM(AVERAGE(F22:G22),AVERAGE(F25:G25)),SUM(AVERAGE(F17:G17),AVERAGE(F18:G18))),AVERAGE(F32:G32))*4</f>
        <v>4.1342547394578454E-2</v>
      </c>
      <c r="H214" s="69">
        <f>+SUM(H126,H146)/SUM(SUM(AVERAGE(G31:H31),AVERAGE(G33:H33),AVERAGE(G34:H34),AVERAGE(G35:H35)),SUM(SUM(AVERAGE(G22:H22),AVERAGE(G25:H25)),SUM(AVERAGE(G17:H17),AVERAGE(G18:H18))),AVERAGE(G32:H32))*4</f>
        <v>3.6368621064861918E-2</v>
      </c>
      <c r="I214" s="69">
        <f>+SUM(I126,I146)/SUM(SUM(AVERAGE(H31:I31),AVERAGE(H33:I33),AVERAGE(H34:I34),AVERAGE(H35:I35)),SUM(SUM(AVERAGE(H22:I22),AVERAGE(H25:I25)),SUM(AVERAGE(H17:I17),AVERAGE(H18:I18))),AVERAGE(H32:I32))*4</f>
        <v>3.5235322222162517E-2</v>
      </c>
      <c r="J214" s="69">
        <f>+SUM(J126,J146)/SUM(SUM(AVERAGE(I31:J31),AVERAGE(I33:J33),AVERAGE(I34:J34),AVERAGE(I35:J35)),SUM(SUM(AVERAGE(I22:J22),AVERAGE(I25:J25)),SUM(AVERAGE(I17:J17),AVERAGE(I18:J18))),AVERAGE(I32:J32))*4</f>
        <v>3.5108773035108495E-2</v>
      </c>
      <c r="K214" s="69">
        <f>+SUM(K126,K146)/SUM(SUM(AVERAGE(J31:K31),AVERAGE(J33:K33),AVERAGE(J34:K34),AVERAGE(J35:K35)),SUM(SUM(AVERAGE(J22:K22),AVERAGE(J25:K25)),SUM(AVERAGE(J17:K17),AVERAGE(J18:K18))),AVERAGE(J32:K32))*4</f>
        <v>3.7086914159169884E-2</v>
      </c>
      <c r="L214" s="69">
        <f>+SUM(L126,L146)/SUM(SUM(AVERAGE(K31:L31),AVERAGE(K33:L33),AVERAGE(K34:L34),AVERAGE(K35:L35)),SUM(SUM(AVERAGE(K22:L22),AVERAGE(K25:L25)),SUM(AVERAGE(K17:L17),AVERAGE(K18:L18))),AVERAGE(K32:L32))*4</f>
        <v>3.4088779993787045E-2</v>
      </c>
      <c r="M214" s="69">
        <f>+SUM(M126,M146)/SUM(SUM(AVERAGE(L31:M31),AVERAGE(L33:M33),AVERAGE(L34:M34),AVERAGE(L35:M35)),SUM(SUM(AVERAGE(L22:M22),AVERAGE(L25:M25)),SUM(AVERAGE(L17:M17),AVERAGE(L18:M18))),AVERAGE(L32:M32))*4</f>
        <v>2.776183957131249E-2</v>
      </c>
      <c r="N214" s="69">
        <f>+SUM(N126,N146)/SUM(SUM(AVERAGE(M31:N31),AVERAGE(M33:N33),AVERAGE(M34:N34),AVERAGE(M35:N35)),SUM(SUM(AVERAGE(M22:N22),AVERAGE(M25:N25)),SUM(AVERAGE(M17:N17),AVERAGE(M18:N18))),AVERAGE(M32:N32))*4</f>
        <v>3.8513561772985073E-2</v>
      </c>
      <c r="O214" s="69">
        <f>+SUM(O126,O146)/SUM(SUM(AVERAGE(N31:O31),AVERAGE(N33:O33),AVERAGE(N34:O34),AVERAGE(N35:O35)),SUM(SUM(AVERAGE(N22:O22),AVERAGE(N25:O25)),SUM(AVERAGE(N17:O17),AVERAGE(N18:O18))),AVERAGE(N32:O32))*4</f>
        <v>3.3643388696620376E-2</v>
      </c>
      <c r="P214" s="69">
        <f>+SUM(P126,P146)/SUM(SUM(AVERAGE(O31:P31),AVERAGE(O33:P33),AVERAGE(O34:P34),AVERAGE(O35:P35)),SUM(SUM(AVERAGE(O22:P22),AVERAGE(O25:P25)),SUM(AVERAGE(O17:P17),AVERAGE(O18:P18))),AVERAGE(O32:P32))*4</f>
        <v>3.4158102245674962E-2</v>
      </c>
      <c r="Q214" s="69">
        <f>+SUM(Q126,Q146)/SUM(SUM(AVERAGE(P31:Q31),AVERAGE(P33:Q33),AVERAGE(P34:Q34),AVERAGE(P35:Q35)),SUM(SUM(AVERAGE(P22:Q22),AVERAGE(P25:Q25)),SUM(AVERAGE(P17:Q17),AVERAGE(P18:Q18))),AVERAGE(P32:Q32))*4</f>
        <v>3.889279368319646E-2</v>
      </c>
      <c r="R214" s="69">
        <f>+SUM(R126,R146)/SUM(SUM(AVERAGE(Q31:R31),AVERAGE(Q33:R33),AVERAGE(Q34:R34),AVERAGE(Q35:R35)),SUM(SUM(AVERAGE(Q22:R22),AVERAGE(Q25:R25)),SUM(AVERAGE(Q17:R17),AVERAGE(Q18:R18))),AVERAGE(Q32:R32))*4</f>
        <v>2.8409822461862931E-2</v>
      </c>
      <c r="S214" s="69">
        <f>+SUM(S126,S146)/SUM(SUM(AVERAGE(R31:S31),AVERAGE(R33:S33),AVERAGE(R34:S34),AVERAGE(R35:S35)),SUM(SUM(AVERAGE(R22:S22),AVERAGE(R25:S25)),SUM(AVERAGE(R17:S17),AVERAGE(R18:S18))),AVERAGE(R32:S32))*4</f>
        <v>3.4804810819972637E-2</v>
      </c>
      <c r="T214" s="70">
        <f>+SUM(T126,T146)/SUM(SUM(AVERAGE(S31:T31),AVERAGE(S33:T33),AVERAGE(S34:T34),AVERAGE(S35:T35)),SUM(SUM(AVERAGE(S22:T22),AVERAGE(S25:T25)),SUM(AVERAGE(S17:T17),AVERAGE(S18:T18))),AVERAGE(S32:T32))*4</f>
        <v>3.9959783931258534E-2</v>
      </c>
      <c r="U214" s="70">
        <f>+SUM(U126,U146)/SUM(SUM(AVERAGE(T31:U31),AVERAGE(T33:U33),AVERAGE(T34:U34),AVERAGE(T35:U35)),SUM(SUM(AVERAGE(T22:U22),AVERAGE(T25:U25)),SUM(AVERAGE(T17:U17),AVERAGE(T18:U18))),AVERAGE(T32:U32))*4</f>
        <v>4.3460118347253995E-2</v>
      </c>
    </row>
    <row r="215" spans="1:21" ht="19.5" customHeight="1" x14ac:dyDescent="0.2">
      <c r="A215" s="58" t="s">
        <v>53</v>
      </c>
      <c r="B215" s="7"/>
      <c r="C215" s="62">
        <f t="shared" ref="C215:U215" si="73">+C168/SUM(C126,C142,C148,C149,C159,C144)</f>
        <v>0.39049494638174415</v>
      </c>
      <c r="D215" s="62">
        <f t="shared" si="73"/>
        <v>0.39778291624907391</v>
      </c>
      <c r="E215" s="62">
        <f t="shared" si="73"/>
        <v>0.41445433852145691</v>
      </c>
      <c r="F215" s="62">
        <f t="shared" si="73"/>
        <v>0.51198811829893554</v>
      </c>
      <c r="G215" s="62">
        <f t="shared" si="73"/>
        <v>0.3824732884460379</v>
      </c>
      <c r="H215" s="62">
        <f t="shared" si="73"/>
        <v>0.42609829499964469</v>
      </c>
      <c r="I215" s="62">
        <f t="shared" si="73"/>
        <v>0.48241651578404715</v>
      </c>
      <c r="J215" s="62">
        <f t="shared" si="73"/>
        <v>0.55547914917446062</v>
      </c>
      <c r="K215" s="62">
        <f t="shared" si="73"/>
        <v>0.46744733152627904</v>
      </c>
      <c r="L215" s="62">
        <f t="shared" si="73"/>
        <v>0.537253595561618</v>
      </c>
      <c r="M215" s="62">
        <f t="shared" si="73"/>
        <v>0.54847343638591972</v>
      </c>
      <c r="N215" s="62">
        <f t="shared" si="73"/>
        <v>0.53992624091624275</v>
      </c>
      <c r="O215" s="62">
        <f t="shared" si="73"/>
        <v>0.50430638590042787</v>
      </c>
      <c r="P215" s="62">
        <f t="shared" si="73"/>
        <v>0.54705028178590698</v>
      </c>
      <c r="Q215" s="62">
        <f t="shared" si="73"/>
        <v>0.5067725200753932</v>
      </c>
      <c r="R215" s="62">
        <f t="shared" si="73"/>
        <v>0.61260484897652567</v>
      </c>
      <c r="S215" s="62">
        <f t="shared" si="73"/>
        <v>0.50802442314952823</v>
      </c>
      <c r="T215" s="62">
        <f t="shared" si="73"/>
        <v>0.51977893891626648</v>
      </c>
      <c r="U215" s="62">
        <f t="shared" si="73"/>
        <v>0.50735025126891142</v>
      </c>
    </row>
    <row r="216" spans="1:21" ht="19.5" customHeight="1" x14ac:dyDescent="0.2">
      <c r="A216" s="58" t="s">
        <v>54</v>
      </c>
      <c r="B216" s="7"/>
      <c r="C216" s="62">
        <f t="shared" ref="C216:U216" si="74">+C168/AVERAGE(B63:C63)*4</f>
        <v>1.8770882146822647E-2</v>
      </c>
      <c r="D216" s="62">
        <f t="shared" si="74"/>
        <v>1.9284960888561332E-2</v>
      </c>
      <c r="E216" s="62">
        <f t="shared" si="74"/>
        <v>1.8807727485880284E-2</v>
      </c>
      <c r="F216" s="62">
        <f t="shared" si="74"/>
        <v>2.1861250528583155E-2</v>
      </c>
      <c r="G216" s="62">
        <f t="shared" si="74"/>
        <v>2.1393623174901916E-2</v>
      </c>
      <c r="H216" s="62">
        <f t="shared" si="74"/>
        <v>2.61273133840258E-2</v>
      </c>
      <c r="I216" s="62">
        <f t="shared" si="74"/>
        <v>2.6686136412873922E-2</v>
      </c>
      <c r="J216" s="62">
        <f t="shared" si="74"/>
        <v>2.8905440271184347E-2</v>
      </c>
      <c r="K216" s="62">
        <f t="shared" si="74"/>
        <v>2.7951121455667659E-2</v>
      </c>
      <c r="L216" s="62">
        <f t="shared" si="74"/>
        <v>2.7998374718794634E-2</v>
      </c>
      <c r="M216" s="62">
        <f t="shared" si="74"/>
        <v>2.6854030439381501E-2</v>
      </c>
      <c r="N216" s="62">
        <f t="shared" si="74"/>
        <v>2.9030606714635844E-2</v>
      </c>
      <c r="O216" s="62">
        <f t="shared" si="74"/>
        <v>2.7557545681916013E-2</v>
      </c>
      <c r="P216" s="62">
        <f t="shared" si="74"/>
        <v>2.7129692229340984E-2</v>
      </c>
      <c r="Q216" s="62">
        <f t="shared" si="74"/>
        <v>2.5922386224919335E-2</v>
      </c>
      <c r="R216" s="62">
        <f t="shared" si="74"/>
        <v>2.9335368173904391E-2</v>
      </c>
      <c r="S216" s="62">
        <f t="shared" si="74"/>
        <v>2.7420299578238029E-2</v>
      </c>
      <c r="T216" s="62">
        <f t="shared" si="74"/>
        <v>2.7758662828822257E-2</v>
      </c>
      <c r="U216" s="62">
        <f t="shared" si="74"/>
        <v>2.6812204771336404E-2</v>
      </c>
    </row>
    <row r="217" spans="1:21" ht="19.5" customHeight="1" x14ac:dyDescent="0.2">
      <c r="A217" s="58" t="s">
        <v>55</v>
      </c>
      <c r="B217" s="7"/>
      <c r="C217" s="63">
        <f t="shared" ref="C217:U217" si="75">+C142/SUM(C126,C142,C148,C149,C153,C154,C155,C156,C157,C144,C158)</f>
        <v>0.19074931547156854</v>
      </c>
      <c r="D217" s="63">
        <f t="shared" si="75"/>
        <v>0.17711029091110739</v>
      </c>
      <c r="E217" s="63">
        <f t="shared" si="75"/>
        <v>0.19551702882380959</v>
      </c>
      <c r="F217" s="63">
        <f t="shared" si="75"/>
        <v>0.20988049860218005</v>
      </c>
      <c r="G217" s="63">
        <f t="shared" si="75"/>
        <v>0.16169979646125437</v>
      </c>
      <c r="H217" s="63">
        <f t="shared" si="75"/>
        <v>0.16934760227575985</v>
      </c>
      <c r="I217" s="63">
        <f t="shared" si="75"/>
        <v>0.19215214185303101</v>
      </c>
      <c r="J217" s="63">
        <f t="shared" si="75"/>
        <v>0.19820159606089069</v>
      </c>
      <c r="K217" s="63">
        <f t="shared" si="75"/>
        <v>0.18956678678578459</v>
      </c>
      <c r="L217" s="63">
        <f t="shared" si="75"/>
        <v>0.22730226315465821</v>
      </c>
      <c r="M217" s="63">
        <f t="shared" si="75"/>
        <v>0.23529988507435576</v>
      </c>
      <c r="N217" s="63">
        <f t="shared" si="75"/>
        <v>0.19020388078962486</v>
      </c>
      <c r="O217" s="63">
        <f t="shared" si="75"/>
        <v>0.21482666318090729</v>
      </c>
      <c r="P217" s="63">
        <f t="shared" si="75"/>
        <v>0.23300906553115483</v>
      </c>
      <c r="Q217" s="63">
        <f t="shared" si="75"/>
        <v>0.21642101347279083</v>
      </c>
      <c r="R217" s="63">
        <f t="shared" si="75"/>
        <v>0.23420500589069437</v>
      </c>
      <c r="S217" s="63">
        <f t="shared" si="75"/>
        <v>0.20291968089086396</v>
      </c>
      <c r="T217" s="63">
        <f t="shared" si="75"/>
        <v>0.20481551321954736</v>
      </c>
      <c r="U217" s="63">
        <f t="shared" si="75"/>
        <v>0.21898548434778331</v>
      </c>
    </row>
    <row r="218" spans="1:21" ht="19.5" customHeight="1" x14ac:dyDescent="0.2">
      <c r="A218" s="58" t="s">
        <v>56</v>
      </c>
      <c r="B218" s="7"/>
      <c r="C218" s="62">
        <f t="shared" ref="C218:U218" si="76">+C171/(C170-C156)</f>
        <v>0.34760523563052548</v>
      </c>
      <c r="D218" s="62">
        <f t="shared" si="76"/>
        <v>0.2671824764369467</v>
      </c>
      <c r="E218" s="62">
        <f t="shared" si="76"/>
        <v>0.59542412683199519</v>
      </c>
      <c r="F218" s="62">
        <f t="shared" si="76"/>
        <v>0.33055286702016573</v>
      </c>
      <c r="G218" s="62">
        <f t="shared" si="76"/>
        <v>0.34913665250465109</v>
      </c>
      <c r="H218" s="62">
        <f t="shared" si="76"/>
        <v>0.33132171217731532</v>
      </c>
      <c r="I218" s="62">
        <f t="shared" si="76"/>
        <v>0.4123010344257409</v>
      </c>
      <c r="J218" s="62">
        <f t="shared" si="76"/>
        <v>0.56175549050515639</v>
      </c>
      <c r="K218" s="62">
        <f t="shared" si="76"/>
        <v>0.39006156725290814</v>
      </c>
      <c r="L218" s="62">
        <f t="shared" si="76"/>
        <v>0.49421072927217996</v>
      </c>
      <c r="M218" s="62">
        <f t="shared" si="76"/>
        <v>0.46198826392883796</v>
      </c>
      <c r="N218" s="62">
        <f t="shared" si="76"/>
        <v>0.47040045926681406</v>
      </c>
      <c r="O218" s="62">
        <f t="shared" si="76"/>
        <v>0.47678560075904525</v>
      </c>
      <c r="P218" s="62">
        <f t="shared" si="76"/>
        <v>0.47190894985135229</v>
      </c>
      <c r="Q218" s="62">
        <f t="shared" si="76"/>
        <v>0.35337879551452045</v>
      </c>
      <c r="R218" s="62">
        <f t="shared" si="76"/>
        <v>0.12606640063848482</v>
      </c>
      <c r="S218" s="62">
        <f t="shared" si="76"/>
        <v>0.39747008276633394</v>
      </c>
      <c r="T218" s="62">
        <f t="shared" si="76"/>
        <v>0.32756121571590419</v>
      </c>
      <c r="U218" s="62">
        <f t="shared" si="76"/>
        <v>0.30693559990112212</v>
      </c>
    </row>
    <row r="219" spans="1:21" ht="19.5" customHeight="1" x14ac:dyDescent="0.2">
      <c r="A219" s="58" t="s">
        <v>57</v>
      </c>
      <c r="B219" s="7"/>
      <c r="C219" s="62">
        <f t="shared" ref="C219:U219" si="77">+C176/C174</f>
        <v>0.4545517967769967</v>
      </c>
      <c r="D219" s="62">
        <f t="shared" si="77"/>
        <v>0.44636871806074924</v>
      </c>
      <c r="E219" s="62">
        <f t="shared" si="77"/>
        <v>0.35573326701141617</v>
      </c>
      <c r="F219" s="62">
        <f t="shared" si="77"/>
        <v>0.39862947681425781</v>
      </c>
      <c r="G219" s="62">
        <f t="shared" si="77"/>
        <v>0.41970938696322879</v>
      </c>
      <c r="H219" s="62">
        <f t="shared" si="77"/>
        <v>0.51266395960714817</v>
      </c>
      <c r="I219" s="62">
        <f t="shared" si="77"/>
        <v>0.56106895327411277</v>
      </c>
      <c r="J219" s="62">
        <f t="shared" si="77"/>
        <v>0.22706022146839844</v>
      </c>
      <c r="K219" s="62">
        <f t="shared" si="77"/>
        <v>0.59409082843826444</v>
      </c>
      <c r="L219" s="62">
        <f t="shared" si="77"/>
        <v>0.63913693990089493</v>
      </c>
      <c r="M219" s="62">
        <f t="shared" si="77"/>
        <v>0.78447455001317457</v>
      </c>
      <c r="N219" s="62">
        <f t="shared" si="77"/>
        <v>0.77509454045565696</v>
      </c>
      <c r="O219" s="62">
        <f t="shared" si="77"/>
        <v>0.75959711209725034</v>
      </c>
      <c r="P219" s="62">
        <f t="shared" si="77"/>
        <v>0.54515495953146387</v>
      </c>
      <c r="Q219" s="62">
        <f t="shared" si="77"/>
        <v>0.42958125122512453</v>
      </c>
      <c r="R219" s="62">
        <f t="shared" si="77"/>
        <v>0.47937884181779616</v>
      </c>
      <c r="S219" s="62">
        <f t="shared" si="77"/>
        <v>0.54881699750342905</v>
      </c>
      <c r="T219" s="62">
        <f t="shared" si="77"/>
        <v>0.43991995327972244</v>
      </c>
      <c r="U219" s="62">
        <f t="shared" si="77"/>
        <v>0.41564712879248394</v>
      </c>
    </row>
    <row r="220" spans="1:21" ht="19.5" customHeight="1" x14ac:dyDescent="0.2">
      <c r="A220" s="58" t="s">
        <v>58</v>
      </c>
      <c r="B220" s="7"/>
      <c r="C220" s="62">
        <f t="shared" ref="C220:U220" si="78">+C240/(C36-C32)</f>
        <v>5.4703981965992104E-2</v>
      </c>
      <c r="D220" s="62">
        <f t="shared" si="78"/>
        <v>5.5274760710305952E-2</v>
      </c>
      <c r="E220" s="62">
        <f t="shared" si="78"/>
        <v>4.9692994061790133E-2</v>
      </c>
      <c r="F220" s="62">
        <f t="shared" si="78"/>
        <v>4.6543794303163938E-2</v>
      </c>
      <c r="G220" s="62">
        <f t="shared" si="78"/>
        <v>4.6457498013975196E-2</v>
      </c>
      <c r="H220" s="62">
        <f t="shared" si="78"/>
        <v>4.3805505846713201E-2</v>
      </c>
      <c r="I220" s="62">
        <f t="shared" si="78"/>
        <v>4.3257534990897101E-2</v>
      </c>
      <c r="J220" s="62">
        <f t="shared" si="78"/>
        <v>4.3452254729707859E-2</v>
      </c>
      <c r="K220" s="62">
        <f t="shared" si="78"/>
        <v>4.8605847656812667E-2</v>
      </c>
      <c r="L220" s="62">
        <f t="shared" si="78"/>
        <v>5.088860317267737E-2</v>
      </c>
      <c r="M220" s="62">
        <f t="shared" si="78"/>
        <v>5.2655862839016694E-2</v>
      </c>
      <c r="N220" s="62">
        <f t="shared" si="78"/>
        <v>5.4651458159674003E-2</v>
      </c>
      <c r="O220" s="62">
        <f t="shared" si="78"/>
        <v>5.8546052751455475E-2</v>
      </c>
      <c r="P220" s="62">
        <f t="shared" si="78"/>
        <v>5.8010669322848943E-2</v>
      </c>
      <c r="Q220" s="62">
        <f t="shared" si="78"/>
        <v>5.7670129000643902E-2</v>
      </c>
      <c r="R220" s="62">
        <f t="shared" si="78"/>
        <v>5.3076729058755295E-2</v>
      </c>
      <c r="S220" s="62">
        <f t="shared" si="78"/>
        <v>5.178835382596695E-2</v>
      </c>
      <c r="T220" s="62">
        <f t="shared" si="78"/>
        <v>4.8096181923022549E-2</v>
      </c>
      <c r="U220" s="62">
        <f t="shared" si="78"/>
        <v>4.6417698947895776E-2</v>
      </c>
    </row>
    <row r="221" spans="1:21" ht="19.5" customHeight="1" x14ac:dyDescent="0.2">
      <c r="A221" s="58" t="s">
        <v>59</v>
      </c>
      <c r="B221" s="7"/>
      <c r="C221" s="62">
        <f t="shared" ref="C221:U221" si="79">+C241/(C36-C32)</f>
        <v>4.125923157680144E-2</v>
      </c>
      <c r="D221" s="62">
        <f t="shared" si="79"/>
        <v>4.2704726908952023E-2</v>
      </c>
      <c r="E221" s="62">
        <f t="shared" si="79"/>
        <v>3.8035993344202081E-2</v>
      </c>
      <c r="F221" s="62">
        <f t="shared" si="79"/>
        <v>3.6321567499880497E-2</v>
      </c>
      <c r="G221" s="62">
        <f t="shared" si="79"/>
        <v>3.5314783655172828E-2</v>
      </c>
      <c r="H221" s="62">
        <f t="shared" si="79"/>
        <v>3.3295675326149445E-2</v>
      </c>
      <c r="I221" s="62">
        <f t="shared" si="79"/>
        <v>3.2286087043137679E-2</v>
      </c>
      <c r="J221" s="62">
        <f t="shared" si="79"/>
        <v>3.2543687478283741E-2</v>
      </c>
      <c r="K221" s="62">
        <f t="shared" si="79"/>
        <v>3.4453090208869531E-2</v>
      </c>
      <c r="L221" s="62">
        <f t="shared" si="79"/>
        <v>3.5655935855296694E-2</v>
      </c>
      <c r="M221" s="62">
        <f t="shared" si="79"/>
        <v>3.7926409298239282E-2</v>
      </c>
      <c r="N221" s="62">
        <f t="shared" si="79"/>
        <v>3.9804205509480828E-2</v>
      </c>
      <c r="O221" s="62">
        <f t="shared" si="79"/>
        <v>4.1498411687301832E-2</v>
      </c>
      <c r="P221" s="62">
        <f t="shared" si="79"/>
        <v>4.247574397945475E-2</v>
      </c>
      <c r="Q221" s="62">
        <f t="shared" si="79"/>
        <v>4.299841736816612E-2</v>
      </c>
      <c r="R221" s="62">
        <f t="shared" si="79"/>
        <v>4.0090479920753534E-2</v>
      </c>
      <c r="S221" s="62">
        <f t="shared" si="79"/>
        <v>3.7445378067323197E-2</v>
      </c>
      <c r="T221" s="62">
        <f t="shared" si="79"/>
        <v>3.5149152856280327E-2</v>
      </c>
      <c r="U221" s="62">
        <f t="shared" si="79"/>
        <v>3.3667788918328591E-2</v>
      </c>
    </row>
    <row r="222" spans="1:21" ht="19.5" customHeight="1" x14ac:dyDescent="0.2">
      <c r="A222" s="58" t="s">
        <v>60</v>
      </c>
      <c r="B222" s="7"/>
      <c r="C222" s="62">
        <f t="shared" ref="C222:U222" si="80">+(C129+C131)/SUM(AVERAGE(B31:C31),AVERAGE(B33:C33),AVERAGE(B34:C34),AVERAGE(B35:C35))*4</f>
        <v>2.322016851343239E-2</v>
      </c>
      <c r="D222" s="63">
        <f t="shared" si="80"/>
        <v>2.0469649581669892E-2</v>
      </c>
      <c r="E222" s="63">
        <f t="shared" si="80"/>
        <v>1.3031247489690157E-2</v>
      </c>
      <c r="F222" s="63">
        <f t="shared" si="80"/>
        <v>1.6951892153872352E-2</v>
      </c>
      <c r="G222" s="63">
        <f t="shared" si="80"/>
        <v>1.7309519520993438E-2</v>
      </c>
      <c r="H222" s="63">
        <f t="shared" si="80"/>
        <v>1.3981105690269233E-2</v>
      </c>
      <c r="I222" s="63">
        <f t="shared" si="80"/>
        <v>1.3550333137674939E-2</v>
      </c>
      <c r="J222" s="63">
        <f t="shared" si="80"/>
        <v>1.4624661541146517E-2</v>
      </c>
      <c r="K222" s="63">
        <f t="shared" si="80"/>
        <v>1.7152215735468976E-2</v>
      </c>
      <c r="L222" s="63">
        <f t="shared" si="80"/>
        <v>2.1633225354062049E-2</v>
      </c>
      <c r="M222" s="63">
        <f t="shared" si="80"/>
        <v>2.5301502842066906E-2</v>
      </c>
      <c r="N222" s="63">
        <f t="shared" si="80"/>
        <v>2.6594333341245394E-2</v>
      </c>
      <c r="O222" s="63">
        <f t="shared" si="80"/>
        <v>2.8986130619209544E-2</v>
      </c>
      <c r="P222" s="63">
        <f t="shared" si="80"/>
        <v>2.0664820917082018E-2</v>
      </c>
      <c r="Q222" s="63">
        <f t="shared" si="80"/>
        <v>1.9368616776814673E-2</v>
      </c>
      <c r="R222" s="63">
        <f t="shared" si="80"/>
        <v>1.825808437917675E-2</v>
      </c>
      <c r="S222" s="63">
        <f t="shared" si="80"/>
        <v>2.0316933699791824E-2</v>
      </c>
      <c r="T222" s="63">
        <f t="shared" si="80"/>
        <v>1.7198017179757788E-2</v>
      </c>
      <c r="U222" s="63">
        <f t="shared" si="80"/>
        <v>1.9133461062586978E-2</v>
      </c>
    </row>
    <row r="223" spans="1:21" ht="19.5" customHeight="1" x14ac:dyDescent="0.2">
      <c r="A223" s="58" t="s">
        <v>61</v>
      </c>
      <c r="B223" s="7"/>
      <c r="C223" s="62">
        <f t="shared" ref="C223:U223" si="81">-C37/C240</f>
        <v>1.0806639103406628</v>
      </c>
      <c r="D223" s="63">
        <f t="shared" si="81"/>
        <v>1.0813404885562845</v>
      </c>
      <c r="E223" s="63">
        <f t="shared" si="81"/>
        <v>1.1563434973911533</v>
      </c>
      <c r="F223" s="63">
        <f t="shared" si="81"/>
        <v>1.2108916721265093</v>
      </c>
      <c r="G223" s="63">
        <f t="shared" si="81"/>
        <v>1.1999276371426577</v>
      </c>
      <c r="H223" s="63">
        <f t="shared" si="81"/>
        <v>1.2253006308318233</v>
      </c>
      <c r="I223" s="63">
        <f t="shared" si="81"/>
        <v>1.1872015597063212</v>
      </c>
      <c r="J223" s="63">
        <f t="shared" si="81"/>
        <v>1.1608143271447615</v>
      </c>
      <c r="K223" s="63">
        <f t="shared" si="81"/>
        <v>1.0506372812810476</v>
      </c>
      <c r="L223" s="63">
        <f t="shared" si="81"/>
        <v>1.0054144767545774</v>
      </c>
      <c r="M223" s="63">
        <f t="shared" si="81"/>
        <v>1.0024264208198401</v>
      </c>
      <c r="N223" s="63">
        <f t="shared" si="81"/>
        <v>0.98826805894925418</v>
      </c>
      <c r="O223" s="63">
        <f t="shared" si="81"/>
        <v>0.955861385689732</v>
      </c>
      <c r="P223" s="63">
        <f t="shared" si="81"/>
        <v>0.9444836032612981</v>
      </c>
      <c r="Q223" s="63">
        <f t="shared" si="81"/>
        <v>0.93044597913011517</v>
      </c>
      <c r="R223" s="63">
        <f t="shared" si="81"/>
        <v>0.94534701711896574</v>
      </c>
      <c r="S223" s="63">
        <f t="shared" si="81"/>
        <v>0.92867192398777354</v>
      </c>
      <c r="T223" s="63">
        <f t="shared" si="81"/>
        <v>0.95456799929634062</v>
      </c>
      <c r="U223" s="63">
        <f t="shared" si="81"/>
        <v>0.95371309822599681</v>
      </c>
    </row>
    <row r="224" spans="1:21" ht="19.5" customHeight="1" x14ac:dyDescent="0.2">
      <c r="A224" s="58" t="s">
        <v>62</v>
      </c>
      <c r="B224" s="7"/>
      <c r="C224" s="62">
        <f t="shared" ref="C224:U224" si="82">-C37/C241</f>
        <v>1.432809502342095</v>
      </c>
      <c r="D224" s="62">
        <f t="shared" si="82"/>
        <v>1.3996304642984247</v>
      </c>
      <c r="E224" s="62">
        <f t="shared" si="82"/>
        <v>1.5107314282356534</v>
      </c>
      <c r="F224" s="62">
        <f t="shared" si="82"/>
        <v>1.551681185319326</v>
      </c>
      <c r="G224" s="62">
        <f t="shared" si="82"/>
        <v>1.5785353908377537</v>
      </c>
      <c r="H224" s="62">
        <f t="shared" si="82"/>
        <v>1.6120686372061692</v>
      </c>
      <c r="I224" s="62">
        <f t="shared" si="82"/>
        <v>1.5906360204513932</v>
      </c>
      <c r="J224" s="62">
        <f t="shared" si="82"/>
        <v>1.5499165505029817</v>
      </c>
      <c r="K224" s="62">
        <f t="shared" si="82"/>
        <v>1.4822216331517291</v>
      </c>
      <c r="L224" s="62">
        <f t="shared" si="82"/>
        <v>1.4349402730381091</v>
      </c>
      <c r="M224" s="62">
        <f t="shared" si="82"/>
        <v>1.3917380816576903</v>
      </c>
      <c r="N224" s="62">
        <f t="shared" si="82"/>
        <v>1.3568990960350378</v>
      </c>
      <c r="O224" s="62">
        <f t="shared" si="82"/>
        <v>1.3485313975713982</v>
      </c>
      <c r="P224" s="62">
        <f t="shared" si="82"/>
        <v>1.2899156284618736</v>
      </c>
      <c r="Q224" s="62">
        <f t="shared" si="82"/>
        <v>1.2479282478031519</v>
      </c>
      <c r="R224" s="62">
        <f t="shared" si="82"/>
        <v>1.2515671449508241</v>
      </c>
      <c r="S224" s="62">
        <f t="shared" si="82"/>
        <v>1.2843878916444962</v>
      </c>
      <c r="T224" s="62">
        <f t="shared" si="82"/>
        <v>1.3061787389236961</v>
      </c>
      <c r="U224" s="62">
        <f t="shared" si="82"/>
        <v>1.314881936069741</v>
      </c>
    </row>
    <row r="225" spans="1:21" ht="19.5" customHeight="1" x14ac:dyDescent="0.2">
      <c r="A225" s="58" t="s">
        <v>63</v>
      </c>
      <c r="B225" s="7"/>
      <c r="C225" s="62">
        <f t="shared" ref="C225:U225" si="83">-C37/(C36-C32)</f>
        <v>5.9116619062574129E-2</v>
      </c>
      <c r="D225" s="62">
        <f t="shared" si="83"/>
        <v>5.9770836751313949E-2</v>
      </c>
      <c r="E225" s="62">
        <f t="shared" si="83"/>
        <v>5.7462170549248216E-2</v>
      </c>
      <c r="F225" s="62">
        <f t="shared" si="83"/>
        <v>5.635949291087048E-2</v>
      </c>
      <c r="G225" s="62">
        <f t="shared" si="83"/>
        <v>5.5745635819468967E-2</v>
      </c>
      <c r="H225" s="62">
        <f t="shared" si="83"/>
        <v>5.367491394788481E-2</v>
      </c>
      <c r="I225" s="62">
        <f t="shared" si="83"/>
        <v>5.1355413010243808E-2</v>
      </c>
      <c r="J225" s="62">
        <f t="shared" si="83"/>
        <v>5.043999983698861E-2</v>
      </c>
      <c r="K225" s="62">
        <f t="shared" si="83"/>
        <v>5.1067115636514442E-2</v>
      </c>
      <c r="L225" s="62">
        <f t="shared" si="83"/>
        <v>5.1164138331628743E-2</v>
      </c>
      <c r="M225" s="62">
        <f t="shared" si="83"/>
        <v>5.2783628120895931E-2</v>
      </c>
      <c r="N225" s="62">
        <f t="shared" si="83"/>
        <v>5.4010290474207412E-2</v>
      </c>
      <c r="O225" s="62">
        <f t="shared" si="83"/>
        <v>5.596191110967038E-2</v>
      </c>
      <c r="P225" s="62">
        <f t="shared" si="83"/>
        <v>5.4790125989644015E-2</v>
      </c>
      <c r="Q225" s="62">
        <f t="shared" si="83"/>
        <v>5.3658939644564162E-2</v>
      </c>
      <c r="R225" s="62">
        <f t="shared" si="83"/>
        <v>5.0175927494125847E-2</v>
      </c>
      <c r="S225" s="62">
        <f t="shared" si="83"/>
        <v>4.8094390187720298E-2</v>
      </c>
      <c r="T225" s="62">
        <f t="shared" si="83"/>
        <v>4.5911076152052463E-2</v>
      </c>
      <c r="U225" s="62">
        <f t="shared" si="83"/>
        <v>4.4269167476119274E-2</v>
      </c>
    </row>
    <row r="226" spans="1:21" ht="19.5" customHeight="1" x14ac:dyDescent="0.2">
      <c r="A226" s="58" t="s">
        <v>64</v>
      </c>
      <c r="B226" s="7"/>
      <c r="C226" s="62">
        <f t="shared" ref="C226:U226" si="84">+(C242*4)/(AVERAGE((C36-C32),(B36-B32)))</f>
        <v>2.862673632764515E-2</v>
      </c>
      <c r="D226" s="62">
        <f t="shared" si="84"/>
        <v>2.1018153689826007E-2</v>
      </c>
      <c r="E226" s="62">
        <f t="shared" si="84"/>
        <v>2.4265743734450198E-2</v>
      </c>
      <c r="F226" s="62">
        <f t="shared" si="84"/>
        <v>2.195680107911499E-2</v>
      </c>
      <c r="G226" s="62">
        <f t="shared" si="84"/>
        <v>1.9759991011704888E-2</v>
      </c>
      <c r="H226" s="62">
        <f t="shared" si="84"/>
        <v>1.8563077817763961E-2</v>
      </c>
      <c r="I226" s="62">
        <f t="shared" si="84"/>
        <v>2.0566418070020374E-2</v>
      </c>
      <c r="J226" s="62">
        <f t="shared" si="84"/>
        <v>1.8071099114797696E-2</v>
      </c>
      <c r="K226" s="62">
        <f t="shared" si="84"/>
        <v>1.8190561935645621E-2</v>
      </c>
      <c r="L226" s="62">
        <f t="shared" si="84"/>
        <v>2.7430316693841373E-2</v>
      </c>
      <c r="M226" s="62">
        <f t="shared" si="84"/>
        <v>1.8794704627522751E-2</v>
      </c>
      <c r="N226" s="62">
        <f t="shared" si="84"/>
        <v>2.590349492450356E-2</v>
      </c>
      <c r="O226" s="62">
        <f t="shared" si="84"/>
        <v>2.5067925184448833E-2</v>
      </c>
      <c r="P226" s="62">
        <f t="shared" si="84"/>
        <v>2.6945430132816809E-2</v>
      </c>
      <c r="Q226" s="62">
        <f t="shared" si="84"/>
        <v>2.8791859333326279E-2</v>
      </c>
      <c r="R226" s="62">
        <f t="shared" si="84"/>
        <v>3.3139274938321417E-2</v>
      </c>
      <c r="S226" s="62">
        <f t="shared" si="84"/>
        <v>3.3932415406290974E-2</v>
      </c>
      <c r="T226" s="62">
        <f t="shared" si="84"/>
        <v>3.0693960260445782E-2</v>
      </c>
      <c r="U226" s="62">
        <f t="shared" si="84"/>
        <v>2.437677775149686E-2</v>
      </c>
    </row>
    <row r="227" spans="1:21" ht="19.5" customHeight="1" x14ac:dyDescent="0.2">
      <c r="A227" s="58" t="s">
        <v>65</v>
      </c>
      <c r="B227" s="7"/>
      <c r="C227" s="62">
        <v>0.58500355555011552</v>
      </c>
      <c r="D227" s="63">
        <v>0.57913541216217057</v>
      </c>
      <c r="E227" s="63">
        <v>0.57501066271595136</v>
      </c>
      <c r="F227" s="62">
        <v>0.57945076618875468</v>
      </c>
      <c r="G227" s="63">
        <f t="shared" ref="G227:U227" si="85">+(G36+G37)/G63</f>
        <v>0.58996641042818609</v>
      </c>
      <c r="H227" s="63">
        <f t="shared" si="85"/>
        <v>0.57821639187275864</v>
      </c>
      <c r="I227" s="63">
        <f t="shared" si="85"/>
        <v>0.58882775012155242</v>
      </c>
      <c r="J227" s="63">
        <f t="shared" si="85"/>
        <v>0.60595791062603832</v>
      </c>
      <c r="K227" s="63">
        <f t="shared" si="85"/>
        <v>0.59925055085195045</v>
      </c>
      <c r="L227" s="63">
        <f t="shared" si="85"/>
        <v>0.59689863945914923</v>
      </c>
      <c r="M227" s="63">
        <f t="shared" si="85"/>
        <v>0.59734958447273867</v>
      </c>
      <c r="N227" s="63">
        <f t="shared" si="85"/>
        <v>0.58492303893955366</v>
      </c>
      <c r="O227" s="63">
        <f t="shared" si="85"/>
        <v>0.58154321180672586</v>
      </c>
      <c r="P227" s="63">
        <f t="shared" si="85"/>
        <v>0.5812035647289352</v>
      </c>
      <c r="Q227" s="63">
        <f t="shared" si="85"/>
        <v>0.57562564751304568</v>
      </c>
      <c r="R227" s="63">
        <f t="shared" si="85"/>
        <v>0.57991168076110933</v>
      </c>
      <c r="S227" s="63">
        <f t="shared" si="85"/>
        <v>0.57579834014580022</v>
      </c>
      <c r="T227" s="63">
        <f t="shared" si="85"/>
        <v>0.57136254295114963</v>
      </c>
      <c r="U227" s="63">
        <f t="shared" si="85"/>
        <v>0.56965025392087842</v>
      </c>
    </row>
    <row r="228" spans="1:21" ht="19.5" customHeight="1" x14ac:dyDescent="0.2">
      <c r="A228" s="58" t="s">
        <v>66</v>
      </c>
      <c r="B228" s="7"/>
      <c r="C228" s="63">
        <f t="shared" ref="C228:U228" si="86">+C68/(C36+C37)</f>
        <v>1.0536740728067713</v>
      </c>
      <c r="D228" s="63">
        <f t="shared" si="86"/>
        <v>1.0557989965912196</v>
      </c>
      <c r="E228" s="63">
        <f t="shared" si="86"/>
        <v>1.0145820027768986</v>
      </c>
      <c r="F228" s="63">
        <f t="shared" si="86"/>
        <v>1.0045176106868101</v>
      </c>
      <c r="G228" s="63">
        <f t="shared" si="86"/>
        <v>0.99126080473921974</v>
      </c>
      <c r="H228" s="63">
        <f t="shared" si="86"/>
        <v>1.0023638738978655</v>
      </c>
      <c r="I228" s="63">
        <f t="shared" si="86"/>
        <v>0.98924550940393063</v>
      </c>
      <c r="J228" s="63">
        <f t="shared" si="86"/>
        <v>0.96775998356276038</v>
      </c>
      <c r="K228" s="63">
        <f t="shared" si="86"/>
        <v>0.99580966748232047</v>
      </c>
      <c r="L228" s="63">
        <f t="shared" si="86"/>
        <v>1.0131074221414058</v>
      </c>
      <c r="M228" s="63">
        <f t="shared" si="86"/>
        <v>1.0103590336063604</v>
      </c>
      <c r="N228" s="63">
        <f t="shared" si="86"/>
        <v>1.0330329022893951</v>
      </c>
      <c r="O228" s="63">
        <f t="shared" si="86"/>
        <v>1.0601847629284957</v>
      </c>
      <c r="P228" s="63">
        <f t="shared" si="86"/>
        <v>1.0779668125084747</v>
      </c>
      <c r="Q228" s="63">
        <f t="shared" si="86"/>
        <v>1.0621517331354413</v>
      </c>
      <c r="R228" s="63">
        <f t="shared" si="86"/>
        <v>1.0565019722202647</v>
      </c>
      <c r="S228" s="63">
        <f t="shared" si="86"/>
        <v>1.0941242939128621</v>
      </c>
      <c r="T228" s="63">
        <f t="shared" si="86"/>
        <v>1.1043739128768184</v>
      </c>
      <c r="U228" s="63">
        <f t="shared" si="86"/>
        <v>1.0854689980162973</v>
      </c>
    </row>
    <row r="229" spans="1:21" ht="19.5" customHeight="1" x14ac:dyDescent="0.2">
      <c r="A229" s="58" t="s">
        <v>67</v>
      </c>
      <c r="B229" s="7"/>
      <c r="C229" s="63">
        <f>+C14/C68</f>
        <v>0.1224665643804924</v>
      </c>
      <c r="D229" s="63">
        <f>+D14/D68</f>
        <v>0.12458426271097987</v>
      </c>
      <c r="E229" s="63">
        <f>+E14/E68</f>
        <v>0.12912904724051166</v>
      </c>
      <c r="F229" s="63">
        <f>+F14/F68</f>
        <v>0.11986687895174875</v>
      </c>
      <c r="G229" s="63">
        <f>+G14/G68</f>
        <v>0.10744074883150534</v>
      </c>
      <c r="H229" s="63">
        <f>+H14/H68</f>
        <v>0.13398237691608619</v>
      </c>
      <c r="I229" s="63">
        <f>+I14/I68</f>
        <v>0.10817005178700964</v>
      </c>
      <c r="J229" s="63">
        <f>+J14/J68</f>
        <v>9.8262050381783511E-2</v>
      </c>
      <c r="K229" s="63">
        <f>+K14/K68</f>
        <v>0.10836886164323865</v>
      </c>
      <c r="L229" s="63">
        <f>+L14/L68</f>
        <v>0.1064979196167134</v>
      </c>
      <c r="M229" s="63">
        <f>+M14/M68</f>
        <v>0.10195594656701794</v>
      </c>
      <c r="N229" s="63">
        <f>+N14/N68</f>
        <v>0.10219312584440399</v>
      </c>
      <c r="O229" s="63">
        <f>+O14/O68</f>
        <v>9.8134932684960485E-2</v>
      </c>
      <c r="P229" s="63">
        <f>+P14/P68</f>
        <v>9.7276564614690988E-2</v>
      </c>
      <c r="Q229" s="63">
        <f>+Q14/Q68</f>
        <v>9.770145656230006E-2</v>
      </c>
      <c r="R229" s="63">
        <f>+R14/R68</f>
        <v>8.4625253475465359E-2</v>
      </c>
      <c r="S229" s="63">
        <f>+S14/S68</f>
        <v>9.2098513576633789E-2</v>
      </c>
      <c r="T229" s="63">
        <f>+T14/T68</f>
        <v>8.7968563942693631E-2</v>
      </c>
      <c r="U229" s="63">
        <f>+U14/U68</f>
        <v>8.504453709767916E-2</v>
      </c>
    </row>
    <row r="230" spans="1:21" ht="16.5" x14ac:dyDescent="0.2">
      <c r="A230" s="58" t="s">
        <v>68</v>
      </c>
      <c r="B230" s="7"/>
    </row>
    <row r="231" spans="1:21" x14ac:dyDescent="0.2">
      <c r="C231" s="71"/>
      <c r="D231" s="71"/>
      <c r="E231" s="71"/>
      <c r="F231" s="71"/>
      <c r="G231" s="71"/>
      <c r="H231" s="71"/>
      <c r="I231" s="71"/>
      <c r="J231" s="71"/>
    </row>
    <row r="232" spans="1:21" x14ac:dyDescent="0.2">
      <c r="C232" s="72"/>
      <c r="D232" s="72"/>
      <c r="E232" s="72"/>
      <c r="F232" s="72"/>
      <c r="G232" s="72"/>
      <c r="H232" s="72"/>
      <c r="I232" s="72"/>
      <c r="J232" s="72"/>
    </row>
    <row r="233" spans="1:21" ht="5.25" customHeight="1" x14ac:dyDescent="0.2">
      <c r="A233" s="58"/>
      <c r="B233" s="73"/>
      <c r="C233" s="73"/>
      <c r="D233" s="73"/>
      <c r="E233" s="73"/>
      <c r="F233" s="73"/>
      <c r="G233" s="73"/>
      <c r="H233" s="73"/>
      <c r="I233" s="73"/>
      <c r="J233" s="73"/>
      <c r="K233" s="73"/>
      <c r="L233" s="73"/>
      <c r="M233" s="73"/>
      <c r="N233" s="73"/>
      <c r="O233" s="73"/>
      <c r="P233" s="73"/>
      <c r="Q233" s="73"/>
      <c r="R233" s="73"/>
      <c r="S233" s="73"/>
      <c r="T233" s="73"/>
      <c r="U233" s="73"/>
    </row>
    <row r="234" spans="1:21" ht="18.75" x14ac:dyDescent="0.2">
      <c r="A234" s="58" t="s">
        <v>69</v>
      </c>
      <c r="B234" s="6"/>
      <c r="C234" s="6"/>
      <c r="D234" s="6"/>
      <c r="E234" s="6"/>
      <c r="F234" s="6"/>
      <c r="G234" s="6"/>
      <c r="H234" s="6"/>
    </row>
    <row r="235" spans="1:21" ht="49.5" x14ac:dyDescent="0.2">
      <c r="A235" s="58" t="s">
        <v>70</v>
      </c>
      <c r="B235" s="6"/>
      <c r="C235" s="6"/>
      <c r="D235" s="6"/>
      <c r="E235" s="6"/>
      <c r="F235" s="6"/>
      <c r="G235" s="6"/>
      <c r="H235" s="6"/>
    </row>
    <row r="236" spans="1:21" ht="18.75" x14ac:dyDescent="0.2">
      <c r="B236" s="6"/>
      <c r="C236" s="6"/>
      <c r="D236" s="6"/>
      <c r="E236" s="6"/>
      <c r="F236" s="6"/>
      <c r="G236" s="6"/>
      <c r="H236" s="6"/>
    </row>
    <row r="238" spans="1:21" ht="16.5" x14ac:dyDescent="0.2">
      <c r="A238" s="74" t="s">
        <v>71</v>
      </c>
      <c r="B238" s="75"/>
      <c r="C238" s="75"/>
      <c r="D238" s="75"/>
      <c r="E238" s="75"/>
      <c r="F238" s="75"/>
      <c r="G238" s="75"/>
      <c r="H238" s="75"/>
      <c r="I238" s="75"/>
      <c r="J238" s="75"/>
      <c r="K238" s="75"/>
      <c r="L238" s="75"/>
      <c r="M238" s="75"/>
      <c r="N238" s="75"/>
      <c r="O238" s="75"/>
      <c r="P238" s="75"/>
      <c r="Q238" s="75"/>
      <c r="R238" s="75"/>
      <c r="S238" s="75"/>
      <c r="T238" s="75"/>
      <c r="U238" s="75"/>
    </row>
    <row r="239" spans="1:21" x14ac:dyDescent="0.2">
      <c r="A239" s="53"/>
      <c r="B239" s="75"/>
      <c r="C239" s="75"/>
      <c r="D239" s="75"/>
      <c r="E239" s="75"/>
      <c r="F239" s="75"/>
      <c r="G239" s="75"/>
      <c r="H239" s="75"/>
      <c r="I239" s="75"/>
      <c r="J239" s="75"/>
      <c r="K239" s="75"/>
      <c r="L239" s="75"/>
      <c r="M239" s="75"/>
      <c r="N239" s="75"/>
      <c r="O239" s="75"/>
      <c r="P239" s="75"/>
      <c r="Q239" s="75"/>
      <c r="R239" s="75"/>
      <c r="S239" s="75"/>
      <c r="T239" s="75"/>
      <c r="U239" s="75"/>
    </row>
    <row r="240" spans="1:21" ht="16.5" x14ac:dyDescent="0.25">
      <c r="A240" s="58" t="s">
        <v>72</v>
      </c>
      <c r="B240" s="76"/>
      <c r="C240" s="77">
        <v>7982.3469954158554</v>
      </c>
      <c r="D240" s="77">
        <v>8164.7824995484398</v>
      </c>
      <c r="E240" s="77">
        <v>7469.0648645591309</v>
      </c>
      <c r="F240" s="77">
        <v>7184.2947154779813</v>
      </c>
      <c r="G240" s="77">
        <v>7353.9397267840232</v>
      </c>
      <c r="H240" s="77">
        <v>7297.5357163138933</v>
      </c>
      <c r="I240" s="77">
        <v>7574.136474729703</v>
      </c>
      <c r="J240" s="77">
        <v>7923.3282146330639</v>
      </c>
      <c r="K240" s="77">
        <v>8973.1474114952762</v>
      </c>
      <c r="L240" s="77">
        <v>9384.346361635884</v>
      </c>
      <c r="M240" s="77">
        <v>9819.2848611423797</v>
      </c>
      <c r="N240" s="77">
        <v>10154.850938889345</v>
      </c>
      <c r="O240" s="77">
        <v>11044.650875406265</v>
      </c>
      <c r="P240" s="77">
        <v>11205.98602622516</v>
      </c>
      <c r="Q240" s="77">
        <v>11219.170479060633</v>
      </c>
      <c r="R240" s="77">
        <v>10585.148874245251</v>
      </c>
      <c r="S240" s="77">
        <v>10293.470458364063</v>
      </c>
      <c r="T240" s="77">
        <v>9588.3151130143524</v>
      </c>
      <c r="U240" s="78">
        <v>9443.4566267040318</v>
      </c>
    </row>
    <row r="241" spans="1:21" ht="16.5" x14ac:dyDescent="0.25">
      <c r="A241" s="58" t="s">
        <v>73</v>
      </c>
      <c r="B241" s="76"/>
      <c r="C241" s="77">
        <v>6020.5032864882232</v>
      </c>
      <c r="D241" s="77">
        <v>6308.0292421636223</v>
      </c>
      <c r="E241" s="77">
        <v>5716.968897517675</v>
      </c>
      <c r="F241" s="77">
        <v>5606.4368914059469</v>
      </c>
      <c r="G241" s="77">
        <v>5590.1157308651364</v>
      </c>
      <c r="H241" s="77">
        <v>5546.7086886658499</v>
      </c>
      <c r="I241" s="77">
        <v>5653.1013510406174</v>
      </c>
      <c r="J241" s="77">
        <v>5934.1987845936555</v>
      </c>
      <c r="K241" s="77">
        <v>6360.4004894336949</v>
      </c>
      <c r="L241" s="77">
        <v>6575.2964525076686</v>
      </c>
      <c r="M241" s="77">
        <v>7072.5308936300216</v>
      </c>
      <c r="N241" s="77">
        <v>7396.0656732842599</v>
      </c>
      <c r="O241" s="77">
        <v>7828.6314350839539</v>
      </c>
      <c r="P241" s="77">
        <v>8205.0870821414537</v>
      </c>
      <c r="Q241" s="77">
        <v>8364.929698316977</v>
      </c>
      <c r="R241" s="77">
        <v>7995.2873119093429</v>
      </c>
      <c r="S241" s="77">
        <v>7442.655818594525</v>
      </c>
      <c r="T241" s="78">
        <v>7007.2330082442541</v>
      </c>
      <c r="U241" s="78">
        <v>6849.5490206042559</v>
      </c>
    </row>
    <row r="242" spans="1:21" ht="16.5" x14ac:dyDescent="0.25">
      <c r="A242" s="58" t="s">
        <v>74</v>
      </c>
      <c r="B242" s="77"/>
      <c r="C242" s="77">
        <v>1033.2348204263365</v>
      </c>
      <c r="D242" s="77">
        <v>771.44928572892798</v>
      </c>
      <c r="E242" s="77">
        <v>903.95007302484453</v>
      </c>
      <c r="F242" s="77">
        <v>836.16924680659599</v>
      </c>
      <c r="G242" s="77">
        <v>772.24394576097177</v>
      </c>
      <c r="H242" s="77">
        <v>753.85445377066833</v>
      </c>
      <c r="I242" s="77">
        <v>878.40071732913282</v>
      </c>
      <c r="J242" s="77">
        <v>807.41592992044468</v>
      </c>
      <c r="K242" s="77">
        <v>834.39213402277915</v>
      </c>
      <c r="L242" s="77">
        <v>1265.2920649195346</v>
      </c>
      <c r="M242" s="77">
        <v>871.34590541217244</v>
      </c>
      <c r="N242" s="77">
        <v>1205.456480488549</v>
      </c>
      <c r="O242" s="77">
        <v>1173.367231724003</v>
      </c>
      <c r="P242" s="77">
        <v>1286.0382270624507</v>
      </c>
      <c r="Q242" s="77">
        <v>1395.3669791676575</v>
      </c>
      <c r="R242" s="77">
        <v>1631.9911452462468</v>
      </c>
      <c r="S242" s="77">
        <v>1688.9495132259208</v>
      </c>
      <c r="T242" s="77">
        <v>1527.475065065448</v>
      </c>
      <c r="U242" s="78">
        <v>1227.3776599756359</v>
      </c>
    </row>
    <row r="243" spans="1:21" ht="16.5" x14ac:dyDescent="0.25">
      <c r="A243" s="11"/>
      <c r="B243" s="22"/>
      <c r="C243" s="22"/>
      <c r="D243" s="22"/>
      <c r="E243" s="22"/>
      <c r="F243" s="22"/>
      <c r="G243" s="22"/>
      <c r="H243" s="22"/>
      <c r="I243" s="22"/>
      <c r="J243" s="22"/>
      <c r="K243" s="22"/>
      <c r="L243" s="22"/>
      <c r="M243" s="22"/>
      <c r="N243" s="22"/>
      <c r="O243" s="22"/>
      <c r="P243" s="22"/>
      <c r="Q243" s="22"/>
      <c r="R243" s="22"/>
      <c r="S243" s="22"/>
      <c r="T243" s="22"/>
      <c r="U243" s="22"/>
    </row>
    <row r="244" spans="1:21" ht="16.5" x14ac:dyDescent="0.25">
      <c r="A244" s="61" t="s">
        <v>75</v>
      </c>
      <c r="B244" s="22"/>
      <c r="C244" s="79">
        <f t="shared" ref="C244" si="87">+SUM(C245:C247)</f>
        <v>174088.84126934336</v>
      </c>
      <c r="D244" s="79">
        <f t="shared" ref="D244" si="88">+SUM(D245:D247)</f>
        <v>177474.11162518206</v>
      </c>
      <c r="E244" s="79">
        <f t="shared" ref="E244:S244" si="89">+SUM(E245:E247)</f>
        <v>181074.69896238996</v>
      </c>
      <c r="F244" s="79">
        <f t="shared" si="89"/>
        <v>185286.52015662956</v>
      </c>
      <c r="G244" s="79">
        <f t="shared" si="89"/>
        <v>190468.90060546101</v>
      </c>
      <c r="H244" s="79">
        <f t="shared" si="89"/>
        <v>196113.18356954469</v>
      </c>
      <c r="I244" s="79">
        <f t="shared" si="89"/>
        <v>203823.76100145892</v>
      </c>
      <c r="J244" s="79">
        <f t="shared" si="89"/>
        <v>214493.03935964906</v>
      </c>
      <c r="K244" s="79">
        <f t="shared" si="89"/>
        <v>220052.39863202005</v>
      </c>
      <c r="L244" s="79">
        <f t="shared" si="89"/>
        <v>219368.40058281613</v>
      </c>
      <c r="M244" s="79">
        <f t="shared" si="89"/>
        <v>220074.29101413712</v>
      </c>
      <c r="N244" s="79">
        <f t="shared" si="89"/>
        <v>220258.53773345309</v>
      </c>
      <c r="O244" s="79">
        <f t="shared" si="89"/>
        <v>221862.94088338848</v>
      </c>
      <c r="P244" s="79">
        <f t="shared" si="89"/>
        <v>227317.00113669466</v>
      </c>
      <c r="Q244" s="79">
        <f t="shared" si="89"/>
        <v>230249.07596802048</v>
      </c>
      <c r="R244" s="79">
        <f t="shared" si="89"/>
        <v>233977.91039161547</v>
      </c>
      <c r="S244" s="79">
        <f t="shared" si="89"/>
        <v>238027.57727049457</v>
      </c>
      <c r="T244" s="79">
        <f>+SUM(T245:T247)</f>
        <v>238778.03410113929</v>
      </c>
      <c r="U244" s="79">
        <f>+SUM(U245:U247)</f>
        <v>242351.40255905077</v>
      </c>
    </row>
    <row r="245" spans="1:21" ht="16.5" x14ac:dyDescent="0.25">
      <c r="A245" s="58" t="s">
        <v>76</v>
      </c>
      <c r="B245" s="22"/>
      <c r="C245" s="78">
        <f t="shared" ref="C245:U245" si="90">+(AVERAGE(B31:C31)+AVERAGE(B33:C33)+AVERAGE(B34:C34)+AVERAGE(B35:C35))</f>
        <v>144373.40094945161</v>
      </c>
      <c r="D245" s="78">
        <f t="shared" si="90"/>
        <v>146815.80449235247</v>
      </c>
      <c r="E245" s="78">
        <f t="shared" si="90"/>
        <v>149008.42651552477</v>
      </c>
      <c r="F245" s="78">
        <f t="shared" si="90"/>
        <v>152329.88517657042</v>
      </c>
      <c r="G245" s="78">
        <f t="shared" si="90"/>
        <v>156324.75648466256</v>
      </c>
      <c r="H245" s="78">
        <f t="shared" si="90"/>
        <v>162441.69445850549</v>
      </c>
      <c r="I245" s="78">
        <f t="shared" si="90"/>
        <v>170841.75072947214</v>
      </c>
      <c r="J245" s="78">
        <f t="shared" si="90"/>
        <v>178719.82767429666</v>
      </c>
      <c r="K245" s="78">
        <f t="shared" si="90"/>
        <v>183478.03371323718</v>
      </c>
      <c r="L245" s="78">
        <f t="shared" si="90"/>
        <v>184510.01919399886</v>
      </c>
      <c r="M245" s="78">
        <f t="shared" si="90"/>
        <v>185444.97988783146</v>
      </c>
      <c r="N245" s="78">
        <f t="shared" si="90"/>
        <v>186145.76666228008</v>
      </c>
      <c r="O245" s="78">
        <f t="shared" si="90"/>
        <v>187230.05164414877</v>
      </c>
      <c r="P245" s="78">
        <f t="shared" si="90"/>
        <v>190910.03123326445</v>
      </c>
      <c r="Q245" s="78">
        <f t="shared" si="90"/>
        <v>193855.7649943135</v>
      </c>
      <c r="R245" s="78">
        <f t="shared" si="90"/>
        <v>196985.73952311234</v>
      </c>
      <c r="S245" s="78">
        <f t="shared" si="90"/>
        <v>199095.70161784528</v>
      </c>
      <c r="T245" s="78">
        <f t="shared" si="90"/>
        <v>199058.71410589543</v>
      </c>
      <c r="U245" s="78">
        <f t="shared" si="90"/>
        <v>201401.13225592641</v>
      </c>
    </row>
    <row r="246" spans="1:21" ht="16.5" x14ac:dyDescent="0.25">
      <c r="A246" s="58" t="s">
        <v>77</v>
      </c>
      <c r="B246" s="22"/>
      <c r="C246" s="78">
        <f>+AVERAGE(B22:C22)+AVERAGE(B25:C25)</f>
        <v>27798.626281767574</v>
      </c>
      <c r="D246" s="78">
        <f>+AVERAGE(C22:D22)+AVERAGE(C25:D25)</f>
        <v>29290.232955610274</v>
      </c>
      <c r="E246" s="78">
        <f>+AVERAGE(D22:E22)+AVERAGE(D25:E25)</f>
        <v>30370.731164882796</v>
      </c>
      <c r="F246" s="78">
        <f>+AVERAGE(E22:F22)+AVERAGE(E25:F25)</f>
        <v>31146.949926377951</v>
      </c>
      <c r="G246" s="78">
        <f>+AVERAGE(F22:G22)+AVERAGE(F25:G25)</f>
        <v>30963.653467478813</v>
      </c>
      <c r="H246" s="78">
        <f>+AVERAGE(G22:H22)+AVERAGE(G25:H25)</f>
        <v>30377.054951666956</v>
      </c>
      <c r="I246" s="78">
        <f>+AVERAGE(H22:I22)+AVERAGE(H25:I25)</f>
        <v>30859.128984380754</v>
      </c>
      <c r="J246" s="78">
        <f>+AVERAGE(I22:J22)+AVERAGE(I25:J25)</f>
        <v>31668.529689209718</v>
      </c>
      <c r="K246" s="78">
        <f>+AVERAGE(J22:K22)+AVERAGE(J25:K25)</f>
        <v>31630.505818201524</v>
      </c>
      <c r="L246" s="78">
        <f>+AVERAGE(K22:L22)+AVERAGE(K25:L25)</f>
        <v>31429.335413603068</v>
      </c>
      <c r="M246" s="78">
        <f>+AVERAGE(L22:M22)+AVERAGE(L25:M25)</f>
        <v>32255.020383170606</v>
      </c>
      <c r="N246" s="78">
        <f>+AVERAGE(M22:N22)+AVERAGE(M25:N25)</f>
        <v>33011.234996621344</v>
      </c>
      <c r="O246" s="78">
        <f>+AVERAGE(N22:O22)+AVERAGE(N25:O25)</f>
        <v>34247.00043430565</v>
      </c>
      <c r="P246" s="78">
        <f>+AVERAGE(O22:P22)+AVERAGE(O25:P25)</f>
        <v>35501.959574262393</v>
      </c>
      <c r="Q246" s="78">
        <f>+AVERAGE(P22:Q22)+AVERAGE(P25:Q25)</f>
        <v>35451.383929793643</v>
      </c>
      <c r="R246" s="78">
        <f>+AVERAGE(Q22:R22)+AVERAGE(Q25:R25)</f>
        <v>36413.141725598085</v>
      </c>
      <c r="S246" s="78">
        <f>+AVERAGE(R22:S22)+AVERAGE(R25:S25)</f>
        <v>38216.275810740051</v>
      </c>
      <c r="T246" s="78">
        <f>+AVERAGE(S22:T22)+AVERAGE(S25:T25)</f>
        <v>38555.687522569162</v>
      </c>
      <c r="U246" s="78">
        <f>+AVERAGE(T22:U22)+AVERAGE(T25:U25)</f>
        <v>39434.622282261975</v>
      </c>
    </row>
    <row r="247" spans="1:21" ht="16.5" x14ac:dyDescent="0.25">
      <c r="A247" s="58" t="s">
        <v>78</v>
      </c>
      <c r="B247" s="22"/>
      <c r="C247" s="78">
        <f t="shared" ref="C247:U247" si="91">+AVERAGE(B32:C32)</f>
        <v>1916.8140381241878</v>
      </c>
      <c r="D247" s="78">
        <f t="shared" si="91"/>
        <v>1368.0741772193417</v>
      </c>
      <c r="E247" s="78">
        <f t="shared" si="91"/>
        <v>1695.5412819823755</v>
      </c>
      <c r="F247" s="78">
        <f t="shared" si="91"/>
        <v>1809.6850536811946</v>
      </c>
      <c r="G247" s="78">
        <f t="shared" si="91"/>
        <v>3180.4906533196345</v>
      </c>
      <c r="H247" s="78">
        <f t="shared" si="91"/>
        <v>3294.4341593722374</v>
      </c>
      <c r="I247" s="78">
        <f t="shared" si="91"/>
        <v>2122.8812876060178</v>
      </c>
      <c r="J247" s="78">
        <f t="shared" si="91"/>
        <v>4104.6819961427054</v>
      </c>
      <c r="K247" s="78">
        <f t="shared" si="91"/>
        <v>4943.8591005813596</v>
      </c>
      <c r="L247" s="78">
        <f t="shared" si="91"/>
        <v>3429.0459752141951</v>
      </c>
      <c r="M247" s="78">
        <f t="shared" si="91"/>
        <v>2374.2907431350573</v>
      </c>
      <c r="N247" s="78">
        <f t="shared" si="91"/>
        <v>1101.5360745516566</v>
      </c>
      <c r="O247" s="78">
        <f t="shared" si="91"/>
        <v>385.88880493407584</v>
      </c>
      <c r="P247" s="78">
        <f t="shared" si="91"/>
        <v>905.01032916780002</v>
      </c>
      <c r="Q247" s="78">
        <f t="shared" si="91"/>
        <v>941.92704391333257</v>
      </c>
      <c r="R247" s="78">
        <f t="shared" si="91"/>
        <v>579.02914290506305</v>
      </c>
      <c r="S247" s="78">
        <f t="shared" si="91"/>
        <v>715.59984190925752</v>
      </c>
      <c r="T247" s="78">
        <f t="shared" si="91"/>
        <v>1163.632472674713</v>
      </c>
      <c r="U247" s="78">
        <f t="shared" si="91"/>
        <v>1515.6480208623748</v>
      </c>
    </row>
    <row r="248" spans="1:21" ht="16.5" x14ac:dyDescent="0.25">
      <c r="A248" s="11"/>
      <c r="B248" s="22"/>
      <c r="C248" s="22"/>
      <c r="D248" s="22"/>
      <c r="E248" s="22"/>
      <c r="F248" s="22"/>
      <c r="G248" s="22"/>
      <c r="H248" s="22"/>
      <c r="I248" s="22"/>
      <c r="J248" s="22"/>
      <c r="K248" s="22"/>
      <c r="L248" s="22"/>
      <c r="M248" s="22"/>
      <c r="N248" s="22"/>
      <c r="O248" s="22"/>
      <c r="P248" s="22"/>
      <c r="Q248" s="22"/>
      <c r="R248" s="22"/>
      <c r="S248" s="22"/>
      <c r="T248" s="22"/>
      <c r="U248" s="22"/>
    </row>
    <row r="249" spans="1:21" ht="16.5" x14ac:dyDescent="0.25">
      <c r="B249" s="22"/>
      <c r="C249" s="22"/>
      <c r="D249" s="22"/>
      <c r="E249" s="22"/>
      <c r="F249" s="22"/>
      <c r="G249" s="22"/>
      <c r="H249" s="22"/>
      <c r="I249" s="22"/>
      <c r="J249" s="22"/>
      <c r="K249" s="22"/>
      <c r="L249" s="22"/>
      <c r="M249" s="22"/>
      <c r="N249" s="22"/>
      <c r="O249" s="22"/>
      <c r="P249" s="22"/>
      <c r="Q249" s="22"/>
      <c r="R249" s="22"/>
      <c r="S249" s="22"/>
      <c r="T249" s="22"/>
    </row>
    <row r="250" spans="1:21" ht="16.5" x14ac:dyDescent="0.25">
      <c r="A250" s="58" t="s">
        <v>76</v>
      </c>
      <c r="B250" s="22"/>
      <c r="C250" s="79">
        <f t="shared" ref="C250" si="92">+SUM(C251:C253)</f>
        <v>184151.15444591819</v>
      </c>
      <c r="D250" s="79">
        <f t="shared" ref="D250" si="93">+SUM(D251:D253)</f>
        <v>187934.28737649505</v>
      </c>
      <c r="E250" s="79">
        <f t="shared" ref="E250:T250" si="94">+SUM(E251:E253)</f>
        <v>191327.21236970308</v>
      </c>
      <c r="F250" s="79">
        <f t="shared" si="94"/>
        <v>195082.71810604254</v>
      </c>
      <c r="G250" s="79">
        <f t="shared" si="94"/>
        <v>199536.69534736886</v>
      </c>
      <c r="H250" s="79">
        <f t="shared" si="94"/>
        <v>204865.21955856332</v>
      </c>
      <c r="I250" s="79">
        <f t="shared" si="94"/>
        <v>213024.46271358381</v>
      </c>
      <c r="J250" s="79">
        <f t="shared" si="94"/>
        <v>224093.35396504213</v>
      </c>
      <c r="K250" s="79">
        <f t="shared" si="94"/>
        <v>230789.12885835546</v>
      </c>
      <c r="L250" s="79">
        <f t="shared" si="94"/>
        <v>230876.1245695212</v>
      </c>
      <c r="M250" s="79">
        <f t="shared" si="94"/>
        <v>231347.76008774069</v>
      </c>
      <c r="N250" s="79">
        <f t="shared" si="94"/>
        <v>232548.04367571216</v>
      </c>
      <c r="O250" s="79">
        <f t="shared" si="94"/>
        <v>235625.81673982309</v>
      </c>
      <c r="P250" s="79">
        <f t="shared" si="94"/>
        <v>242104.29659643825</v>
      </c>
      <c r="Q250" s="79">
        <f t="shared" si="94"/>
        <v>247674.2571833728</v>
      </c>
      <c r="R250" s="79">
        <f t="shared" si="94"/>
        <v>253288.62306897802</v>
      </c>
      <c r="S250" s="79">
        <f t="shared" si="94"/>
        <v>257574.43370109022</v>
      </c>
      <c r="T250" s="79">
        <f t="shared" si="94"/>
        <v>260393.54212122754</v>
      </c>
      <c r="U250" s="79">
        <f>+SUM(U251:U253)</f>
        <v>267274.58884849621</v>
      </c>
    </row>
    <row r="251" spans="1:21" ht="16.5" x14ac:dyDescent="0.25">
      <c r="A251" s="58" t="s">
        <v>77</v>
      </c>
      <c r="B251" s="22"/>
      <c r="C251" s="78">
        <f t="shared" ref="C251:T251" si="95">+C245</f>
        <v>144373.40094945161</v>
      </c>
      <c r="D251" s="78">
        <f t="shared" si="95"/>
        <v>146815.80449235247</v>
      </c>
      <c r="E251" s="78">
        <f t="shared" si="95"/>
        <v>149008.42651552477</v>
      </c>
      <c r="F251" s="78">
        <f t="shared" si="95"/>
        <v>152329.88517657042</v>
      </c>
      <c r="G251" s="78">
        <f t="shared" si="95"/>
        <v>156324.75648466256</v>
      </c>
      <c r="H251" s="78">
        <f t="shared" si="95"/>
        <v>162441.69445850549</v>
      </c>
      <c r="I251" s="78">
        <f t="shared" si="95"/>
        <v>170841.75072947214</v>
      </c>
      <c r="J251" s="78">
        <f t="shared" si="95"/>
        <v>178719.82767429666</v>
      </c>
      <c r="K251" s="78">
        <f t="shared" si="95"/>
        <v>183478.03371323718</v>
      </c>
      <c r="L251" s="78">
        <f t="shared" si="95"/>
        <v>184510.01919399886</v>
      </c>
      <c r="M251" s="78">
        <f t="shared" si="95"/>
        <v>185444.97988783146</v>
      </c>
      <c r="N251" s="78">
        <f t="shared" si="95"/>
        <v>186145.76666228008</v>
      </c>
      <c r="O251" s="78">
        <f t="shared" si="95"/>
        <v>187230.05164414877</v>
      </c>
      <c r="P251" s="78">
        <f t="shared" si="95"/>
        <v>190910.03123326445</v>
      </c>
      <c r="Q251" s="78">
        <f t="shared" si="95"/>
        <v>193855.7649943135</v>
      </c>
      <c r="R251" s="78">
        <f t="shared" si="95"/>
        <v>196985.73952311234</v>
      </c>
      <c r="S251" s="78">
        <f t="shared" si="95"/>
        <v>199095.70161784528</v>
      </c>
      <c r="T251" s="78">
        <f t="shared" si="95"/>
        <v>199058.71410589543</v>
      </c>
      <c r="U251" s="78">
        <f>+U245</f>
        <v>201401.13225592641</v>
      </c>
    </row>
    <row r="252" spans="1:21" ht="16.5" x14ac:dyDescent="0.25">
      <c r="A252" s="58" t="s">
        <v>78</v>
      </c>
      <c r="B252" s="22"/>
      <c r="C252" s="78">
        <f>+(AVERAGE(B22:C22)+AVERAGE(B25:C25))+AVERAGE(B17+B21,C17+C21)+AVERAGE(B18:C18)</f>
        <v>37860.939458342378</v>
      </c>
      <c r="D252" s="78">
        <f>+(AVERAGE(C22:D22)+AVERAGE(C25:D25))+AVERAGE(C17+C21,D17+D21)+AVERAGE(C18:D18)</f>
        <v>39750.408706923234</v>
      </c>
      <c r="E252" s="78">
        <f>+(AVERAGE(D22:E22)+AVERAGE(D25:E25))+AVERAGE(D17+D21,E17+E21)+AVERAGE(D18:E18)</f>
        <v>40623.244572195923</v>
      </c>
      <c r="F252" s="78">
        <f>+(AVERAGE(E22:F22)+AVERAGE(E25:F25))+AVERAGE(E17+E21,F17+F21)+AVERAGE(E18:F18)</f>
        <v>40943.147875790906</v>
      </c>
      <c r="G252" s="78">
        <f>+(AVERAGE(F22:G22)+AVERAGE(F25:G25))+AVERAGE(F17+F21,G17+G21)+AVERAGE(F18:G18)</f>
        <v>40031.448209386661</v>
      </c>
      <c r="H252" s="78">
        <f>+(AVERAGE(G22:H22)+AVERAGE(G25:H25))+AVERAGE(G17+G21,H17+H21)+AVERAGE(G18:H18)</f>
        <v>39129.090940685594</v>
      </c>
      <c r="I252" s="78">
        <f>+(AVERAGE(H22:I22)+AVERAGE(H25:I25))+AVERAGE(H17+H21,I17+I21)+AVERAGE(H18:I18)</f>
        <v>40059.83069650564</v>
      </c>
      <c r="J252" s="78">
        <f>+(AVERAGE(I22:J22)+AVERAGE(I25:J25))+AVERAGE(I17+I21,J17+J21)+AVERAGE(I18:J18)</f>
        <v>41268.844294602779</v>
      </c>
      <c r="K252" s="78">
        <f>+(AVERAGE(J22:K22)+AVERAGE(J25:K25))+AVERAGE(J17+J21,K17+K21)+AVERAGE(J18:K18)</f>
        <v>42367.236044536934</v>
      </c>
      <c r="L252" s="78">
        <f>+(AVERAGE(K22:L22)+AVERAGE(K25:L25))+AVERAGE(K17+K21,L17+L21)+AVERAGE(K18:L18)</f>
        <v>42937.059400308142</v>
      </c>
      <c r="M252" s="78">
        <f>+(AVERAGE(L22:M22)+AVERAGE(L25:M25))+AVERAGE(L17+L21,M17+M21)+AVERAGE(L18:M18)</f>
        <v>43528.489456774172</v>
      </c>
      <c r="N252" s="78">
        <f>+(AVERAGE(M22:N22)+AVERAGE(M25:N25))+AVERAGE(M17+M21,N17+N21)+AVERAGE(M18:N18)</f>
        <v>45300.740938880408</v>
      </c>
      <c r="O252" s="78">
        <f>+(AVERAGE(N22:O22)+AVERAGE(N25:O25))+AVERAGE(N17+N21,O17+O21)+AVERAGE(N18:O18)</f>
        <v>48009.876290740242</v>
      </c>
      <c r="P252" s="78">
        <f>+(AVERAGE(O22:P22)+AVERAGE(O25:P25))+AVERAGE(O17+O21,P17+P21)+AVERAGE(O18:P18)</f>
        <v>50289.255034005997</v>
      </c>
      <c r="Q252" s="78">
        <f>+(AVERAGE(P22:Q22)+AVERAGE(P25:Q25))+AVERAGE(P17+P21,Q17+Q21)+AVERAGE(P18:Q18)</f>
        <v>52876.565145145942</v>
      </c>
      <c r="R252" s="78">
        <f>+(AVERAGE(Q22:R22)+AVERAGE(Q25:R25))+AVERAGE(Q17+Q21,R17+R21)+AVERAGE(Q18:R18)</f>
        <v>55723.854402960635</v>
      </c>
      <c r="S252" s="78">
        <f>+(AVERAGE(R22:S22)+AVERAGE(R25:S25))+AVERAGE(R17+R21,S17+S21)+AVERAGE(R18:S18)</f>
        <v>57763.132241335697</v>
      </c>
      <c r="T252" s="78">
        <f>+(AVERAGE(S22:T22)+AVERAGE(S25:T25))+AVERAGE(S17+S21,T17+T21)+AVERAGE(S18:T18)</f>
        <v>60171.195542657413</v>
      </c>
      <c r="U252" s="78">
        <f>+(AVERAGE(T22:U22)+AVERAGE(T25:U25))+AVERAGE(T17+T21,U17+U21)+AVERAGE(T18:U18)</f>
        <v>64357.808571707428</v>
      </c>
    </row>
    <row r="253" spans="1:21" ht="16.5" x14ac:dyDescent="0.25">
      <c r="A253" s="11"/>
      <c r="B253" s="22"/>
      <c r="C253" s="78">
        <f t="shared" ref="C253:T253" si="96">+C247</f>
        <v>1916.8140381241878</v>
      </c>
      <c r="D253" s="78">
        <f t="shared" si="96"/>
        <v>1368.0741772193417</v>
      </c>
      <c r="E253" s="78">
        <f t="shared" si="96"/>
        <v>1695.5412819823755</v>
      </c>
      <c r="F253" s="78">
        <f t="shared" si="96"/>
        <v>1809.6850536811946</v>
      </c>
      <c r="G253" s="78">
        <f t="shared" si="96"/>
        <v>3180.4906533196345</v>
      </c>
      <c r="H253" s="78">
        <f t="shared" si="96"/>
        <v>3294.4341593722374</v>
      </c>
      <c r="I253" s="78">
        <f t="shared" si="96"/>
        <v>2122.8812876060178</v>
      </c>
      <c r="J253" s="78">
        <f t="shared" si="96"/>
        <v>4104.6819961427054</v>
      </c>
      <c r="K253" s="78">
        <f t="shared" si="96"/>
        <v>4943.8591005813596</v>
      </c>
      <c r="L253" s="78">
        <f t="shared" si="96"/>
        <v>3429.0459752141951</v>
      </c>
      <c r="M253" s="78">
        <f t="shared" si="96"/>
        <v>2374.2907431350573</v>
      </c>
      <c r="N253" s="78">
        <f t="shared" si="96"/>
        <v>1101.5360745516566</v>
      </c>
      <c r="O253" s="78">
        <f t="shared" si="96"/>
        <v>385.88880493407584</v>
      </c>
      <c r="P253" s="78">
        <f t="shared" si="96"/>
        <v>905.01032916780002</v>
      </c>
      <c r="Q253" s="78">
        <f t="shared" si="96"/>
        <v>941.92704391333257</v>
      </c>
      <c r="R253" s="78">
        <f t="shared" si="96"/>
        <v>579.02914290506305</v>
      </c>
      <c r="S253" s="78">
        <f t="shared" si="96"/>
        <v>715.59984190925752</v>
      </c>
      <c r="T253" s="78">
        <f t="shared" si="96"/>
        <v>1163.632472674713</v>
      </c>
      <c r="U253" s="78">
        <f>+U247</f>
        <v>1515.6480208623748</v>
      </c>
    </row>
    <row r="254" spans="1:21" ht="16.5" x14ac:dyDescent="0.25">
      <c r="A254" s="42"/>
      <c r="B254" s="22"/>
      <c r="C254" s="22"/>
      <c r="D254" s="22"/>
      <c r="E254" s="22"/>
      <c r="F254" s="22"/>
      <c r="G254" s="22"/>
      <c r="H254" s="22"/>
      <c r="I254" s="22"/>
      <c r="J254" s="22"/>
      <c r="K254" s="22"/>
      <c r="L254" s="22"/>
      <c r="M254" s="22"/>
      <c r="N254" s="22"/>
      <c r="O254" s="22"/>
      <c r="P254" s="22"/>
      <c r="Q254" s="22"/>
      <c r="R254" s="22"/>
      <c r="S254" s="22"/>
      <c r="T254" s="22"/>
      <c r="U254" s="80"/>
    </row>
    <row r="255" spans="1:21" ht="16.5" x14ac:dyDescent="0.25">
      <c r="A255" s="11"/>
      <c r="B255" s="22"/>
      <c r="C255" s="22"/>
      <c r="D255" s="22"/>
      <c r="E255" s="22"/>
      <c r="F255" s="22"/>
      <c r="G255" s="22"/>
      <c r="H255" s="22"/>
      <c r="I255" s="22"/>
      <c r="J255" s="22"/>
      <c r="K255" s="22"/>
      <c r="L255" s="22"/>
      <c r="M255" s="22"/>
      <c r="N255" s="22"/>
      <c r="O255" s="22"/>
      <c r="P255" s="22"/>
      <c r="Q255" s="22"/>
      <c r="R255" s="22"/>
      <c r="S255" s="22"/>
      <c r="T255" s="22"/>
      <c r="U255" s="81"/>
    </row>
    <row r="256" spans="1:21" ht="16.5" x14ac:dyDescent="0.25">
      <c r="A256" s="61" t="s">
        <v>79</v>
      </c>
      <c r="B256" s="22"/>
      <c r="C256" s="82">
        <f t="shared" ref="C256:S256" si="97">+C257+C263+C262</f>
        <v>0</v>
      </c>
      <c r="D256" s="82">
        <f t="shared" si="97"/>
        <v>0</v>
      </c>
      <c r="E256" s="82">
        <f t="shared" si="97"/>
        <v>0</v>
      </c>
      <c r="F256" s="82">
        <f t="shared" si="97"/>
        <v>184588.01114095227</v>
      </c>
      <c r="G256" s="82">
        <f t="shared" si="97"/>
        <v>189929.22397480384</v>
      </c>
      <c r="H256" s="82">
        <f t="shared" si="97"/>
        <v>196618.25944458653</v>
      </c>
      <c r="I256" s="82">
        <f t="shared" si="97"/>
        <v>206215.83814976751</v>
      </c>
      <c r="J256" s="82">
        <f t="shared" si="97"/>
        <v>217640.24488358299</v>
      </c>
      <c r="K256" s="82">
        <f t="shared" si="97"/>
        <v>217050.52048766488</v>
      </c>
      <c r="L256" s="82">
        <f t="shared" si="97"/>
        <v>217334.86326459338</v>
      </c>
      <c r="M256" s="82">
        <f t="shared" si="97"/>
        <v>220056.4860471508</v>
      </c>
      <c r="N256" s="82">
        <f t="shared" si="97"/>
        <v>219897.32449191541</v>
      </c>
      <c r="O256" s="82">
        <f t="shared" si="97"/>
        <v>225580.34026918633</v>
      </c>
      <c r="P256" s="82">
        <f t="shared" si="97"/>
        <v>231170.42745547829</v>
      </c>
      <c r="Q256" s="82">
        <f t="shared" si="97"/>
        <v>235779.06496670627</v>
      </c>
      <c r="R256" s="82">
        <f t="shared" si="97"/>
        <v>243369.83599755442</v>
      </c>
      <c r="S256" s="82">
        <f t="shared" si="97"/>
        <v>244238.56656875432</v>
      </c>
      <c r="T256" s="82">
        <f>+T257+T263+T262</f>
        <v>247777.63304395345</v>
      </c>
      <c r="U256" s="82">
        <f>+U257+U263+U262</f>
        <v>256505.92271294512</v>
      </c>
    </row>
    <row r="257" spans="1:21" ht="16.5" x14ac:dyDescent="0.25">
      <c r="A257" s="58" t="s">
        <v>80</v>
      </c>
      <c r="B257" s="22"/>
      <c r="C257" s="82">
        <f t="shared" ref="C257:U257" si="98">+SUM(C258:C261)</f>
        <v>0</v>
      </c>
      <c r="D257" s="82">
        <f t="shared" si="98"/>
        <v>0</v>
      </c>
      <c r="E257" s="82">
        <f t="shared" si="98"/>
        <v>0</v>
      </c>
      <c r="F257" s="82">
        <f t="shared" si="98"/>
        <v>154228.62766880012</v>
      </c>
      <c r="G257" s="82">
        <f t="shared" si="98"/>
        <v>158275.25119331005</v>
      </c>
      <c r="H257" s="82">
        <f t="shared" si="98"/>
        <v>166471.19994665124</v>
      </c>
      <c r="I257" s="82">
        <f t="shared" si="98"/>
        <v>175183.1246487434</v>
      </c>
      <c r="J257" s="82">
        <f t="shared" si="98"/>
        <v>180874.52133128382</v>
      </c>
      <c r="K257" s="82">
        <f t="shared" si="98"/>
        <v>183210.67289709512</v>
      </c>
      <c r="L257" s="82">
        <f t="shared" si="98"/>
        <v>183550.53317118369</v>
      </c>
      <c r="M257" s="82">
        <f t="shared" si="98"/>
        <v>185684.75778919135</v>
      </c>
      <c r="N257" s="82">
        <f t="shared" si="98"/>
        <v>184575.96319831509</v>
      </c>
      <c r="O257" s="82">
        <f t="shared" si="98"/>
        <v>187372.43475983597</v>
      </c>
      <c r="P257" s="82">
        <f t="shared" si="98"/>
        <v>191772.77836424063</v>
      </c>
      <c r="Q257" s="82">
        <f t="shared" si="98"/>
        <v>193162.02966218741</v>
      </c>
      <c r="R257" s="82">
        <f t="shared" si="98"/>
        <v>197862.246095346</v>
      </c>
      <c r="S257" s="82">
        <f t="shared" si="98"/>
        <v>197417.37359050851</v>
      </c>
      <c r="T257" s="82">
        <f t="shared" si="98"/>
        <v>198077.4729674788</v>
      </c>
      <c r="U257" s="82">
        <f t="shared" si="98"/>
        <v>202357.83970169778</v>
      </c>
    </row>
    <row r="258" spans="1:21" ht="16.5" x14ac:dyDescent="0.25">
      <c r="A258" s="58" t="s">
        <v>81</v>
      </c>
      <c r="B258" s="22"/>
      <c r="C258" s="78">
        <v>0</v>
      </c>
      <c r="D258" s="78">
        <v>0</v>
      </c>
      <c r="E258" s="78">
        <v>0</v>
      </c>
      <c r="F258" s="78">
        <v>89053.232055201239</v>
      </c>
      <c r="G258" s="78">
        <v>91621.398647619892</v>
      </c>
      <c r="H258" s="78">
        <v>96491.422425320037</v>
      </c>
      <c r="I258" s="78">
        <v>101034.90554601347</v>
      </c>
      <c r="J258" s="78">
        <v>104080.89608916243</v>
      </c>
      <c r="K258" s="78">
        <v>105577.04341109583</v>
      </c>
      <c r="L258" s="78">
        <v>106396.35416313572</v>
      </c>
      <c r="M258" s="78">
        <v>107623.19060711995</v>
      </c>
      <c r="N258" s="78">
        <v>106804.10968906117</v>
      </c>
      <c r="O258" s="78">
        <v>109243.63862197511</v>
      </c>
      <c r="P258" s="78">
        <v>112333.46797051863</v>
      </c>
      <c r="Q258" s="78">
        <v>112514.09573496264</v>
      </c>
      <c r="R258" s="78">
        <v>114943.80564237646</v>
      </c>
      <c r="S258" s="78">
        <v>113143.07656682392</v>
      </c>
      <c r="T258" s="78">
        <v>112854.09569639656</v>
      </c>
      <c r="U258" s="78">
        <v>115405.29787400583</v>
      </c>
    </row>
    <row r="259" spans="1:21" ht="16.5" x14ac:dyDescent="0.25">
      <c r="A259" s="58" t="s">
        <v>82</v>
      </c>
      <c r="B259" s="22"/>
      <c r="C259" s="78">
        <v>0</v>
      </c>
      <c r="D259" s="78">
        <v>0</v>
      </c>
      <c r="E259" s="78">
        <v>0</v>
      </c>
      <c r="F259" s="78">
        <v>50192.598337907963</v>
      </c>
      <c r="G259" s="78">
        <v>51367.813485905383</v>
      </c>
      <c r="H259" s="78">
        <v>53834.899971167528</v>
      </c>
      <c r="I259" s="78">
        <v>56934.554609486033</v>
      </c>
      <c r="J259" s="78">
        <v>58661.256092273754</v>
      </c>
      <c r="K259" s="78">
        <v>59358.84906917937</v>
      </c>
      <c r="L259" s="78">
        <v>59148.742597733239</v>
      </c>
      <c r="M259" s="78">
        <v>59694.113308920103</v>
      </c>
      <c r="N259" s="78">
        <v>59031.238117087421</v>
      </c>
      <c r="O259" s="78">
        <v>59015.908556490409</v>
      </c>
      <c r="P259" s="78">
        <v>59503.485622750479</v>
      </c>
      <c r="Q259" s="78">
        <v>60065.931539700461</v>
      </c>
      <c r="R259" s="78">
        <v>60905.011808351126</v>
      </c>
      <c r="S259" s="78">
        <v>61322.079108260565</v>
      </c>
      <c r="T259" s="78">
        <v>61620.931383667987</v>
      </c>
      <c r="U259" s="78">
        <v>62522.183650288644</v>
      </c>
    </row>
    <row r="260" spans="1:21" ht="16.5" x14ac:dyDescent="0.25">
      <c r="A260" s="58" t="s">
        <v>83</v>
      </c>
      <c r="B260" s="22"/>
      <c r="C260" s="78">
        <v>0</v>
      </c>
      <c r="D260" s="78">
        <v>0</v>
      </c>
      <c r="E260" s="78">
        <v>0</v>
      </c>
      <c r="F260" s="78">
        <v>14665.058214640758</v>
      </c>
      <c r="G260" s="78">
        <v>14993.428143243591</v>
      </c>
      <c r="H260" s="78">
        <v>15866.239159040653</v>
      </c>
      <c r="I260" s="78">
        <v>16948.885574535889</v>
      </c>
      <c r="J260" s="78">
        <v>17864.649089247625</v>
      </c>
      <c r="K260" s="78">
        <v>18007.161001356933</v>
      </c>
      <c r="L260" s="78">
        <v>17736.951326690731</v>
      </c>
      <c r="M260" s="78">
        <v>18095.138983669323</v>
      </c>
      <c r="N260" s="78">
        <v>18463.086548383522</v>
      </c>
      <c r="O260" s="78">
        <v>18828.037052016443</v>
      </c>
      <c r="P260" s="78">
        <v>19640.205709751535</v>
      </c>
      <c r="Q260" s="78">
        <v>20577.042328061329</v>
      </c>
      <c r="R260" s="78">
        <v>22009.053418238382</v>
      </c>
      <c r="S260" s="78">
        <v>22948.038890068026</v>
      </c>
      <c r="T260" s="78">
        <v>23600.912081711271</v>
      </c>
      <c r="U260" s="78">
        <v>24428.758179519289</v>
      </c>
    </row>
    <row r="261" spans="1:21" ht="16.5" x14ac:dyDescent="0.25">
      <c r="A261" s="58" t="s">
        <v>84</v>
      </c>
      <c r="B261" s="22"/>
      <c r="C261" s="78">
        <v>0</v>
      </c>
      <c r="D261" s="78">
        <v>0</v>
      </c>
      <c r="E261" s="78">
        <v>0</v>
      </c>
      <c r="F261" s="78">
        <v>317.73906105014999</v>
      </c>
      <c r="G261" s="78">
        <v>292.61091654115</v>
      </c>
      <c r="H261" s="78">
        <v>278.63839112300002</v>
      </c>
      <c r="I261" s="78">
        <v>264.77891870799999</v>
      </c>
      <c r="J261" s="78">
        <v>267.72006059999995</v>
      </c>
      <c r="K261" s="78">
        <v>267.619415463</v>
      </c>
      <c r="L261" s="78">
        <v>268.48508362399997</v>
      </c>
      <c r="M261" s="78">
        <v>272.31488948199996</v>
      </c>
      <c r="N261" s="78">
        <v>277.52884378299996</v>
      </c>
      <c r="O261" s="78">
        <v>284.850529354</v>
      </c>
      <c r="P261" s="78">
        <v>295.61906121999999</v>
      </c>
      <c r="Q261" s="78">
        <v>4.9600594629999994</v>
      </c>
      <c r="R261" s="78">
        <v>4.37522638</v>
      </c>
      <c r="S261" s="78">
        <v>4.1790253560000004</v>
      </c>
      <c r="T261" s="78">
        <v>1.5338057030000001</v>
      </c>
      <c r="U261" s="78">
        <v>1.599997884</v>
      </c>
    </row>
    <row r="262" spans="1:21" ht="16.5" x14ac:dyDescent="0.25">
      <c r="A262" s="58" t="s">
        <v>20</v>
      </c>
      <c r="B262" s="22"/>
      <c r="C262" s="78">
        <v>0</v>
      </c>
      <c r="D262" s="78">
        <v>0</v>
      </c>
      <c r="E262" s="78">
        <v>0</v>
      </c>
      <c r="F262" s="78">
        <v>782.49644444332114</v>
      </c>
      <c r="G262" s="78">
        <v>3490.7022151922183</v>
      </c>
      <c r="H262" s="78">
        <v>1419.319565761527</v>
      </c>
      <c r="I262" s="78">
        <v>1655.3027504365084</v>
      </c>
      <c r="J262" s="78">
        <v>5669.5866443939021</v>
      </c>
      <c r="K262" s="78">
        <v>2973.6388423768167</v>
      </c>
      <c r="L262" s="78">
        <v>2183.1032010895738</v>
      </c>
      <c r="M262" s="78">
        <v>1178.7388382135407</v>
      </c>
      <c r="N262" s="78">
        <v>247.66892699077252</v>
      </c>
      <c r="O262" s="78">
        <v>286.69730520337907</v>
      </c>
      <c r="P262" s="78">
        <v>401.0496689452213</v>
      </c>
      <c r="Q262" s="78">
        <v>415.34713277744402</v>
      </c>
      <c r="R262" s="78">
        <v>704.51610183668197</v>
      </c>
      <c r="S262" s="78">
        <v>720.63346971683313</v>
      </c>
      <c r="T262" s="78">
        <v>1600.6236756995927</v>
      </c>
      <c r="U262" s="78">
        <v>1380.8452244161567</v>
      </c>
    </row>
    <row r="263" spans="1:21" ht="16.5" x14ac:dyDescent="0.25">
      <c r="A263" s="58" t="s">
        <v>77</v>
      </c>
      <c r="B263" s="22"/>
      <c r="C263" s="84">
        <f t="shared" ref="C263:T263" si="99">+C264+C265</f>
        <v>0</v>
      </c>
      <c r="D263" s="84">
        <f t="shared" si="99"/>
        <v>0</v>
      </c>
      <c r="E263" s="84">
        <f t="shared" si="99"/>
        <v>0</v>
      </c>
      <c r="F263" s="84">
        <f t="shared" si="99"/>
        <v>29576.887027708799</v>
      </c>
      <c r="G263" s="84">
        <f t="shared" si="99"/>
        <v>28163.270566301559</v>
      </c>
      <c r="H263" s="84">
        <f t="shared" si="99"/>
        <v>28727.739932173787</v>
      </c>
      <c r="I263" s="84">
        <f t="shared" si="99"/>
        <v>29377.410750587616</v>
      </c>
      <c r="J263" s="84">
        <f t="shared" si="99"/>
        <v>31096.136907905257</v>
      </c>
      <c r="K263" s="84">
        <f t="shared" si="99"/>
        <v>30866.208748192941</v>
      </c>
      <c r="L263" s="84">
        <f t="shared" si="99"/>
        <v>31601.226892320108</v>
      </c>
      <c r="M263" s="84">
        <f t="shared" si="99"/>
        <v>33192.989419745893</v>
      </c>
      <c r="N263" s="84">
        <f t="shared" si="99"/>
        <v>35073.692366609539</v>
      </c>
      <c r="O263" s="84">
        <f t="shared" si="99"/>
        <v>37921.208204146962</v>
      </c>
      <c r="P263" s="84">
        <f t="shared" si="99"/>
        <v>38996.599422292442</v>
      </c>
      <c r="Q263" s="84">
        <f t="shared" si="99"/>
        <v>42201.688171741414</v>
      </c>
      <c r="R263" s="84">
        <f t="shared" si="99"/>
        <v>44803.073800371727</v>
      </c>
      <c r="S263" s="84">
        <f t="shared" si="99"/>
        <v>46100.559508528997</v>
      </c>
      <c r="T263" s="84">
        <f t="shared" si="99"/>
        <v>48099.53640077509</v>
      </c>
      <c r="U263" s="84">
        <f>+U264+U265</f>
        <v>52767.237786831203</v>
      </c>
    </row>
    <row r="264" spans="1:21" ht="16.5" x14ac:dyDescent="0.25">
      <c r="A264" s="58" t="s">
        <v>85</v>
      </c>
      <c r="B264" s="22"/>
      <c r="C264" s="85">
        <v>0</v>
      </c>
      <c r="D264" s="85">
        <v>0</v>
      </c>
      <c r="E264" s="85">
        <v>0</v>
      </c>
      <c r="F264" s="85">
        <v>3863.1753249464255</v>
      </c>
      <c r="G264" s="85">
        <v>3375.5867684891073</v>
      </c>
      <c r="H264" s="85">
        <v>3770.6270157000031</v>
      </c>
      <c r="I264" s="85">
        <v>3851.2377532287605</v>
      </c>
      <c r="J264" s="85">
        <v>4130.2951667153638</v>
      </c>
      <c r="K264" s="85">
        <v>5062.2701384624643</v>
      </c>
      <c r="L264" s="85">
        <v>5218.6154428696855</v>
      </c>
      <c r="M264" s="85">
        <v>5916.461345511435</v>
      </c>
      <c r="N264" s="85">
        <v>7068.8544876617007</v>
      </c>
      <c r="O264" s="85">
        <v>7966.547516620486</v>
      </c>
      <c r="P264" s="85">
        <v>9152.7213374487346</v>
      </c>
      <c r="Q264" s="85">
        <v>12708.569185409864</v>
      </c>
      <c r="R264" s="85">
        <v>12604.081251168227</v>
      </c>
      <c r="S264" s="85">
        <v>12678.787242542056</v>
      </c>
      <c r="T264" s="85">
        <v>14979.182167528461</v>
      </c>
      <c r="U264" s="85">
        <v>18196.170013410443</v>
      </c>
    </row>
    <row r="265" spans="1:21" ht="16.5" x14ac:dyDescent="0.25">
      <c r="A265" s="58" t="s">
        <v>86</v>
      </c>
      <c r="B265" s="22"/>
      <c r="C265" s="85">
        <v>0</v>
      </c>
      <c r="D265" s="85">
        <v>0</v>
      </c>
      <c r="E265" s="85">
        <v>0</v>
      </c>
      <c r="F265" s="85">
        <v>25713.711702762372</v>
      </c>
      <c r="G265" s="85">
        <v>24787.683797812453</v>
      </c>
      <c r="H265" s="85">
        <v>24957.112916473783</v>
      </c>
      <c r="I265" s="85">
        <v>25526.172997358855</v>
      </c>
      <c r="J265" s="85">
        <v>26965.841741189892</v>
      </c>
      <c r="K265" s="85">
        <v>25803.938609730478</v>
      </c>
      <c r="L265" s="85">
        <v>26382.611449450422</v>
      </c>
      <c r="M265" s="85">
        <v>27276.528074234458</v>
      </c>
      <c r="N265" s="85">
        <v>28004.837878947837</v>
      </c>
      <c r="O265" s="85">
        <v>29954.660687526473</v>
      </c>
      <c r="P265" s="85">
        <v>29843.878084843705</v>
      </c>
      <c r="Q265" s="85">
        <v>29493.118986331552</v>
      </c>
      <c r="R265" s="85">
        <v>32198.9925492035</v>
      </c>
      <c r="S265" s="85">
        <v>33421.77226598694</v>
      </c>
      <c r="T265" s="85">
        <v>33120.354233246631</v>
      </c>
      <c r="U265" s="85">
        <v>34571.067773420757</v>
      </c>
    </row>
    <row r="266" spans="1:21" ht="16.5" x14ac:dyDescent="0.25">
      <c r="A266" s="58" t="s">
        <v>78</v>
      </c>
      <c r="B266" s="22"/>
      <c r="C266" s="22"/>
      <c r="D266" s="22"/>
      <c r="E266" s="22"/>
      <c r="F266" s="22"/>
      <c r="G266" s="22"/>
      <c r="H266" s="22"/>
      <c r="I266" s="22"/>
      <c r="J266" s="22"/>
      <c r="K266" s="22"/>
      <c r="L266" s="22"/>
      <c r="M266" s="22"/>
      <c r="N266" s="22"/>
      <c r="O266" s="22"/>
      <c r="P266" s="22"/>
      <c r="Q266" s="22"/>
      <c r="R266" s="22"/>
      <c r="S266" s="22"/>
      <c r="T266" s="22"/>
      <c r="U266" s="22"/>
    </row>
    <row r="267" spans="1:21" ht="16.5" x14ac:dyDescent="0.25">
      <c r="A267" s="11"/>
      <c r="B267" s="22"/>
      <c r="C267" s="22"/>
      <c r="D267" s="22"/>
      <c r="E267" s="22"/>
      <c r="F267" s="22"/>
      <c r="G267" s="22"/>
      <c r="H267" s="22"/>
      <c r="I267" s="22"/>
      <c r="J267" s="22"/>
      <c r="K267" s="22"/>
      <c r="L267" s="22"/>
      <c r="M267" s="22"/>
      <c r="N267" s="22"/>
      <c r="O267" s="22"/>
      <c r="P267" s="22"/>
      <c r="Q267" s="22"/>
      <c r="R267" s="22"/>
      <c r="S267" s="22"/>
      <c r="T267" s="22"/>
      <c r="U267" s="85"/>
    </row>
    <row r="268" spans="1:21" ht="16.5" x14ac:dyDescent="0.25">
      <c r="A268" s="61" t="s">
        <v>87</v>
      </c>
      <c r="B268" s="22"/>
      <c r="C268" s="22"/>
      <c r="D268" s="84">
        <f t="shared" ref="D268:T268" si="100">+D269+D274+D275</f>
        <v>0</v>
      </c>
      <c r="E268" s="84">
        <f t="shared" si="100"/>
        <v>0</v>
      </c>
      <c r="F268" s="84">
        <f t="shared" si="100"/>
        <v>12127.443810432231</v>
      </c>
      <c r="G268" s="84">
        <f t="shared" si="100"/>
        <v>3607.9470521764388</v>
      </c>
      <c r="H268" s="84">
        <f t="shared" si="100"/>
        <v>4081.4926323485197</v>
      </c>
      <c r="I268" s="84">
        <f t="shared" si="100"/>
        <v>4989.2641087746106</v>
      </c>
      <c r="J268" s="84">
        <f t="shared" si="100"/>
        <v>5909.1927307949745</v>
      </c>
      <c r="K268" s="84">
        <f t="shared" si="100"/>
        <v>6936.9930359015334</v>
      </c>
      <c r="L268" s="84">
        <f t="shared" si="100"/>
        <v>7038.3227104241969</v>
      </c>
      <c r="M268" s="84">
        <f t="shared" si="100"/>
        <v>7068.3622575910849</v>
      </c>
      <c r="N268" s="84">
        <f t="shared" si="100"/>
        <v>7431.4874332780319</v>
      </c>
      <c r="O268" s="84">
        <f t="shared" si="100"/>
        <v>7120.913836462335</v>
      </c>
      <c r="P268" s="84">
        <f t="shared" si="100"/>
        <v>6994.09274616331</v>
      </c>
      <c r="Q268" s="84">
        <f t="shared" si="100"/>
        <v>7113.5835269547579</v>
      </c>
      <c r="R268" s="84">
        <f t="shared" si="100"/>
        <v>6352.3461025687875</v>
      </c>
      <c r="S268" s="84">
        <f t="shared" si="100"/>
        <v>6552.3218256886266</v>
      </c>
      <c r="T268" s="84">
        <f t="shared" si="100"/>
        <v>6843.2074615355132</v>
      </c>
      <c r="U268" s="84">
        <f>+U269+U274+U275</f>
        <v>7171.3453635738342</v>
      </c>
    </row>
    <row r="269" spans="1:21" ht="16.5" x14ac:dyDescent="0.25">
      <c r="A269" s="61" t="s">
        <v>80</v>
      </c>
      <c r="B269" s="22"/>
      <c r="C269" s="22"/>
      <c r="D269" s="82">
        <f t="shared" ref="D269:S269" si="101">+SUM(D270:D273)</f>
        <v>0</v>
      </c>
      <c r="E269" s="82">
        <f t="shared" si="101"/>
        <v>0</v>
      </c>
      <c r="F269" s="82">
        <f t="shared" si="101"/>
        <v>11575.922833518163</v>
      </c>
      <c r="G269" s="82">
        <f t="shared" si="101"/>
        <v>3261.9221694856728</v>
      </c>
      <c r="H269" s="82">
        <f t="shared" si="101"/>
        <v>3796.5868755853517</v>
      </c>
      <c r="I269" s="82">
        <f t="shared" si="101"/>
        <v>4550.6417104009706</v>
      </c>
      <c r="J269" s="82">
        <f t="shared" si="101"/>
        <v>5287.7662149827493</v>
      </c>
      <c r="K269" s="82">
        <f t="shared" si="101"/>
        <v>5897.8401105109233</v>
      </c>
      <c r="L269" s="82">
        <f t="shared" si="101"/>
        <v>6234.5893675522957</v>
      </c>
      <c r="M269" s="82">
        <f t="shared" si="101"/>
        <v>6449.7171497154786</v>
      </c>
      <c r="N269" s="82">
        <f t="shared" si="101"/>
        <v>6510.6684272793173</v>
      </c>
      <c r="O269" s="82">
        <f t="shared" si="101"/>
        <v>6339.1579056094115</v>
      </c>
      <c r="P269" s="82">
        <f t="shared" si="101"/>
        <v>6140.3511302794732</v>
      </c>
      <c r="Q269" s="82">
        <f t="shared" si="101"/>
        <v>6008.7395724207108</v>
      </c>
      <c r="R269" s="82">
        <f t="shared" si="101"/>
        <v>5814.6291377079178</v>
      </c>
      <c r="S269" s="82">
        <f t="shared" si="101"/>
        <v>5683.2622855836289</v>
      </c>
      <c r="T269" s="82">
        <f>+SUM(T270:T273)</f>
        <v>5732.1555319913914</v>
      </c>
      <c r="U269" s="82">
        <f>+SUM(U270:U273)</f>
        <v>5762.2553997297437</v>
      </c>
    </row>
    <row r="270" spans="1:21" ht="16.5" x14ac:dyDescent="0.25">
      <c r="A270" s="58" t="s">
        <v>81</v>
      </c>
      <c r="B270" s="22"/>
      <c r="C270" s="22"/>
      <c r="D270" s="83">
        <v>0</v>
      </c>
      <c r="E270" s="83">
        <v>0</v>
      </c>
      <c r="F270" s="83">
        <v>4622.611443794759</v>
      </c>
      <c r="G270" s="83">
        <v>1439.4234940592905</v>
      </c>
      <c r="H270" s="83">
        <v>1829.8538778639577</v>
      </c>
      <c r="I270" s="83">
        <v>2407.537518666405</v>
      </c>
      <c r="J270" s="83">
        <v>2925.8848764878094</v>
      </c>
      <c r="K270" s="83">
        <v>3360.0552620772087</v>
      </c>
      <c r="L270" s="83">
        <v>3609.8594294063942</v>
      </c>
      <c r="M270" s="83">
        <v>3708.6940795902228</v>
      </c>
      <c r="N270" s="83">
        <v>3736.0819910542573</v>
      </c>
      <c r="O270" s="83">
        <v>3582.3987065629667</v>
      </c>
      <c r="P270" s="83">
        <v>3438.1556234300974</v>
      </c>
      <c r="Q270" s="83">
        <v>3289.7127964250417</v>
      </c>
      <c r="R270" s="83">
        <v>3108.5114140972664</v>
      </c>
      <c r="S270" s="83">
        <v>2970.8832781540118</v>
      </c>
      <c r="T270" s="83">
        <v>2961.3400193593161</v>
      </c>
      <c r="U270" s="83">
        <v>2955.8536441865876</v>
      </c>
    </row>
    <row r="271" spans="1:21" ht="16.5" x14ac:dyDescent="0.25">
      <c r="A271" s="58" t="s">
        <v>82</v>
      </c>
      <c r="B271" s="22"/>
      <c r="C271" s="22"/>
      <c r="D271" s="83">
        <v>0</v>
      </c>
      <c r="E271" s="83">
        <v>0</v>
      </c>
      <c r="F271" s="83">
        <v>5796.8270616974032</v>
      </c>
      <c r="G271" s="83">
        <v>1528.2397361621333</v>
      </c>
      <c r="H271" s="83">
        <v>1615.7318995785818</v>
      </c>
      <c r="I271" s="83">
        <v>1775.0776169699468</v>
      </c>
      <c r="J271" s="83">
        <v>1962.0728456110965</v>
      </c>
      <c r="K271" s="83">
        <v>2112.382800575785</v>
      </c>
      <c r="L271" s="83">
        <v>2195.0852042418655</v>
      </c>
      <c r="M271" s="83">
        <v>2302.444626596744</v>
      </c>
      <c r="N271" s="83">
        <v>2310.2539755784319</v>
      </c>
      <c r="O271" s="83">
        <v>2269.1593165869403</v>
      </c>
      <c r="P271" s="83">
        <v>2210.3909150022823</v>
      </c>
      <c r="Q271" s="83">
        <v>2216.5945416361606</v>
      </c>
      <c r="R271" s="83">
        <v>2192.9504460200542</v>
      </c>
      <c r="S271" s="83">
        <v>2162.2624439166871</v>
      </c>
      <c r="T271" s="83">
        <v>2207.5614437470686</v>
      </c>
      <c r="U271" s="83">
        <v>2226.3004683381514</v>
      </c>
    </row>
    <row r="272" spans="1:21" ht="16.5" x14ac:dyDescent="0.25">
      <c r="A272" s="58" t="s">
        <v>83</v>
      </c>
      <c r="B272" s="22"/>
      <c r="C272" s="22"/>
      <c r="D272" s="83">
        <v>0</v>
      </c>
      <c r="E272" s="83">
        <v>0</v>
      </c>
      <c r="F272" s="83">
        <v>1078.6045668032195</v>
      </c>
      <c r="G272" s="83">
        <v>277.63321032924904</v>
      </c>
      <c r="H272" s="83">
        <v>335.11929098981233</v>
      </c>
      <c r="I272" s="83">
        <v>352.31492574161933</v>
      </c>
      <c r="J272" s="83">
        <v>383.44518349884333</v>
      </c>
      <c r="K272" s="83">
        <v>408.09825769293002</v>
      </c>
      <c r="L272" s="83">
        <v>412.12065692003563</v>
      </c>
      <c r="M272" s="83">
        <v>420.45959413051219</v>
      </c>
      <c r="N272" s="83">
        <v>445.92692041362892</v>
      </c>
      <c r="O272" s="83">
        <v>468.16224817650442</v>
      </c>
      <c r="P272" s="83">
        <v>473.53098534209352</v>
      </c>
      <c r="Q272" s="83">
        <v>491.4795314015085</v>
      </c>
      <c r="R272" s="83">
        <v>513.12160894359738</v>
      </c>
      <c r="S272" s="83">
        <v>549.99777541192998</v>
      </c>
      <c r="T272" s="83">
        <v>563.17319129400676</v>
      </c>
      <c r="U272" s="83">
        <v>580.07074082000531</v>
      </c>
    </row>
    <row r="273" spans="1:21" ht="16.5" x14ac:dyDescent="0.25">
      <c r="A273" s="58" t="s">
        <v>84</v>
      </c>
      <c r="B273" s="22"/>
      <c r="C273" s="22"/>
      <c r="D273" s="83">
        <v>0</v>
      </c>
      <c r="E273" s="83">
        <v>0</v>
      </c>
      <c r="F273" s="83">
        <v>77.879761222780857</v>
      </c>
      <c r="G273" s="83">
        <v>16.625728934999998</v>
      </c>
      <c r="H273" s="83">
        <v>15.881807152999999</v>
      </c>
      <c r="I273" s="83">
        <v>15.711649023000001</v>
      </c>
      <c r="J273" s="83">
        <v>16.363309385000001</v>
      </c>
      <c r="K273" s="83">
        <v>17.303790164999999</v>
      </c>
      <c r="L273" s="83">
        <v>17.524076984000001</v>
      </c>
      <c r="M273" s="83">
        <v>18.118849397999998</v>
      </c>
      <c r="N273" s="83">
        <v>18.405540233</v>
      </c>
      <c r="O273" s="83">
        <v>19.437634282999998</v>
      </c>
      <c r="P273" s="83">
        <v>18.273606505</v>
      </c>
      <c r="Q273" s="83">
        <v>10.952702958</v>
      </c>
      <c r="R273" s="83">
        <v>4.5668647E-2</v>
      </c>
      <c r="S273" s="83">
        <v>0.11878810099999999</v>
      </c>
      <c r="T273" s="83">
        <v>8.0877590999999999E-2</v>
      </c>
      <c r="U273" s="83">
        <v>3.0546384999999999E-2</v>
      </c>
    </row>
    <row r="274" spans="1:21" ht="16.5" x14ac:dyDescent="0.25">
      <c r="A274" s="58" t="s">
        <v>20</v>
      </c>
      <c r="B274" s="22"/>
      <c r="C274" s="22"/>
      <c r="D274" s="83">
        <v>0</v>
      </c>
      <c r="E274" s="83">
        <v>0</v>
      </c>
      <c r="F274" s="83">
        <v>85.75761563861677</v>
      </c>
      <c r="G274" s="83">
        <v>50.316615677609967</v>
      </c>
      <c r="H274" s="83">
        <v>29.371515039859514</v>
      </c>
      <c r="I274" s="83">
        <v>111.75922967315543</v>
      </c>
      <c r="J274" s="83">
        <v>147.26903067159898</v>
      </c>
      <c r="K274" s="83">
        <v>284.19762897069148</v>
      </c>
      <c r="L274" s="83">
        <v>177.24573649255169</v>
      </c>
      <c r="M274" s="83">
        <v>154.18832534971258</v>
      </c>
      <c r="N274" s="83">
        <v>152.41476621462306</v>
      </c>
      <c r="O274" s="83">
        <v>118.5440033047955</v>
      </c>
      <c r="P274" s="83">
        <v>157.7646342421649</v>
      </c>
      <c r="Q274" s="83">
        <v>155.63596218661351</v>
      </c>
      <c r="R274" s="83">
        <v>130.60023011688517</v>
      </c>
      <c r="S274" s="83">
        <v>108.15945436976449</v>
      </c>
      <c r="T274" s="83">
        <v>131.3232726300848</v>
      </c>
      <c r="U274" s="83">
        <v>108.58147664263311</v>
      </c>
    </row>
    <row r="275" spans="1:21" ht="16.5" x14ac:dyDescent="0.25">
      <c r="A275" s="58" t="s">
        <v>88</v>
      </c>
      <c r="B275" s="22"/>
      <c r="C275" s="22"/>
      <c r="D275" s="85">
        <v>0</v>
      </c>
      <c r="E275" s="85">
        <v>0</v>
      </c>
      <c r="F275" s="85">
        <v>465.76336127545153</v>
      </c>
      <c r="G275" s="85">
        <v>295.70826701315599</v>
      </c>
      <c r="H275" s="85">
        <v>255.53424172330855</v>
      </c>
      <c r="I275" s="85">
        <v>326.86316870048478</v>
      </c>
      <c r="J275" s="85">
        <v>474.15748514062659</v>
      </c>
      <c r="K275" s="85">
        <v>754.95529641991857</v>
      </c>
      <c r="L275" s="85">
        <v>626.48760637934959</v>
      </c>
      <c r="M275" s="85">
        <v>464.45678252589323</v>
      </c>
      <c r="N275" s="85">
        <v>768.40423978409149</v>
      </c>
      <c r="O275" s="85">
        <v>663.21192754812819</v>
      </c>
      <c r="P275" s="85">
        <v>695.97698164167196</v>
      </c>
      <c r="Q275" s="85">
        <v>949.20799234743413</v>
      </c>
      <c r="R275" s="85">
        <v>407.11673474398441</v>
      </c>
      <c r="S275" s="85">
        <v>760.90008573523346</v>
      </c>
      <c r="T275" s="85">
        <v>979.72865691403672</v>
      </c>
      <c r="U275" s="85">
        <v>1300.5084872014579</v>
      </c>
    </row>
    <row r="276" spans="1:21" ht="16.5" x14ac:dyDescent="0.25">
      <c r="A276" s="11"/>
      <c r="B276" s="22"/>
      <c r="C276" s="22"/>
      <c r="D276" s="22"/>
      <c r="E276" s="22"/>
      <c r="F276" s="22"/>
      <c r="G276" s="22"/>
      <c r="H276" s="22"/>
      <c r="I276" s="22"/>
      <c r="J276" s="22"/>
      <c r="K276" s="22"/>
      <c r="L276" s="22"/>
      <c r="M276" s="22"/>
      <c r="N276" s="22"/>
      <c r="O276" s="22"/>
      <c r="P276" s="22"/>
      <c r="Q276" s="22"/>
      <c r="R276" s="22"/>
      <c r="S276" s="22"/>
      <c r="T276" s="22"/>
      <c r="U276" s="22"/>
    </row>
    <row r="277" spans="1:21" ht="16.5" x14ac:dyDescent="0.25">
      <c r="A277" s="11"/>
      <c r="B277" s="22"/>
      <c r="C277" s="22"/>
      <c r="D277" s="22"/>
      <c r="E277" s="22"/>
      <c r="F277" s="22"/>
      <c r="G277" s="22"/>
      <c r="H277" s="22"/>
      <c r="I277" s="22"/>
      <c r="J277" s="22"/>
      <c r="K277" s="22"/>
      <c r="L277" s="22"/>
      <c r="M277" s="22"/>
      <c r="N277" s="22"/>
      <c r="O277" s="22"/>
      <c r="P277" s="22"/>
      <c r="Q277" s="22"/>
      <c r="R277" s="22"/>
      <c r="S277" s="22"/>
      <c r="T277" s="22"/>
      <c r="U277" s="22"/>
    </row>
    <row r="278" spans="1:21" ht="16.5" x14ac:dyDescent="0.25">
      <c r="A278" s="58" t="s">
        <v>89</v>
      </c>
      <c r="B278" s="22"/>
      <c r="C278" s="85">
        <v>0</v>
      </c>
      <c r="D278" s="85">
        <v>0</v>
      </c>
      <c r="E278" s="85">
        <v>0</v>
      </c>
      <c r="F278" s="85">
        <v>-1889.4747075362332</v>
      </c>
      <c r="G278" s="85">
        <v>-1308.3665064734384</v>
      </c>
      <c r="H278" s="85">
        <v>-1857.536983397719</v>
      </c>
      <c r="I278" s="85">
        <v>-2743.3313451531353</v>
      </c>
      <c r="J278" s="85">
        <v>-3692.823975484685</v>
      </c>
      <c r="K278" s="85">
        <v>-4614.1537049905774</v>
      </c>
      <c r="L278" s="85">
        <v>-4725.2326488623003</v>
      </c>
      <c r="M278" s="85">
        <v>-4929.8221978925103</v>
      </c>
      <c r="N278" s="85">
        <v>-4990.9966982329543</v>
      </c>
      <c r="O278" s="85">
        <v>-4769.2856339536829</v>
      </c>
      <c r="P278" s="85">
        <v>-4567.5077664948685</v>
      </c>
      <c r="Q278" s="85">
        <v>-4430.5951248683014</v>
      </c>
      <c r="R278" s="85">
        <v>-4154.9633723160623</v>
      </c>
      <c r="S278" s="85">
        <v>-3994.9353941090321</v>
      </c>
      <c r="T278" s="85">
        <v>-4031.1256722806179</v>
      </c>
      <c r="U278" s="85">
        <v>-4182.408213152471</v>
      </c>
    </row>
    <row r="279" spans="1:21" ht="16.5" x14ac:dyDescent="0.25">
      <c r="A279" s="11"/>
      <c r="B279" s="22"/>
      <c r="C279" s="22"/>
      <c r="D279" s="22"/>
      <c r="E279" s="22"/>
      <c r="F279" s="22"/>
      <c r="G279" s="22"/>
      <c r="H279" s="22"/>
      <c r="I279" s="22"/>
      <c r="J279" s="22"/>
      <c r="K279" s="22"/>
      <c r="L279" s="22"/>
      <c r="M279" s="22"/>
      <c r="N279" s="22"/>
      <c r="O279" s="22"/>
      <c r="P279" s="22"/>
      <c r="Q279" s="22"/>
      <c r="R279" s="22"/>
      <c r="S279" s="22"/>
      <c r="T279" s="22"/>
      <c r="U279" s="22"/>
    </row>
    <row r="280" spans="1:21" ht="16.5" x14ac:dyDescent="0.25">
      <c r="A280" s="11"/>
      <c r="B280" s="22"/>
      <c r="C280" s="86"/>
      <c r="D280" s="86"/>
      <c r="E280" s="86"/>
      <c r="F280" s="86"/>
      <c r="G280" s="86"/>
      <c r="H280" s="86"/>
      <c r="I280" s="86"/>
      <c r="J280" s="86"/>
      <c r="K280" s="86"/>
      <c r="L280" s="86"/>
      <c r="M280" s="86"/>
      <c r="N280" s="86"/>
      <c r="O280" s="86"/>
      <c r="P280" s="86"/>
      <c r="Q280" s="86"/>
      <c r="R280" s="86"/>
      <c r="S280" s="86"/>
      <c r="T280" s="86"/>
      <c r="U280" s="86"/>
    </row>
    <row r="296" spans="1:86" s="3" customFormat="1" x14ac:dyDescent="0.2">
      <c r="A296" s="2"/>
      <c r="U296" s="87"/>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row>
  </sheetData>
  <mergeCells count="81">
    <mergeCell ref="U11:U12"/>
    <mergeCell ref="P11:P12"/>
    <mergeCell ref="Q11:Q12"/>
    <mergeCell ref="R11:R12"/>
    <mergeCell ref="S11:S12"/>
    <mergeCell ref="T11:T12"/>
    <mergeCell ref="L11:L12"/>
    <mergeCell ref="M11:M12"/>
    <mergeCell ref="N11:N12"/>
    <mergeCell ref="O11:O12"/>
    <mergeCell ref="A102:A103"/>
    <mergeCell ref="C102:C103"/>
    <mergeCell ref="D102:D103"/>
    <mergeCell ref="E102:E103"/>
    <mergeCell ref="K11:K12"/>
    <mergeCell ref="E11:E12"/>
    <mergeCell ref="F11:F12"/>
    <mergeCell ref="G11:G12"/>
    <mergeCell ref="H11:H12"/>
    <mergeCell ref="I11:I12"/>
    <mergeCell ref="J11:J12"/>
    <mergeCell ref="A11:A12"/>
    <mergeCell ref="B11:B12"/>
    <mergeCell ref="C11:C12"/>
    <mergeCell ref="D11:D12"/>
    <mergeCell ref="Q102:Q103"/>
    <mergeCell ref="F102:F103"/>
    <mergeCell ref="G102:G103"/>
    <mergeCell ref="H102:H103"/>
    <mergeCell ref="I102:I103"/>
    <mergeCell ref="J102:J103"/>
    <mergeCell ref="K102:K103"/>
    <mergeCell ref="L102:L103"/>
    <mergeCell ref="M102:M103"/>
    <mergeCell ref="N102:N103"/>
    <mergeCell ref="O102:O103"/>
    <mergeCell ref="P102:P103"/>
    <mergeCell ref="R102:R103"/>
    <mergeCell ref="S102:S103"/>
    <mergeCell ref="T102:T103"/>
    <mergeCell ref="U102:U103"/>
    <mergeCell ref="M183:M184"/>
    <mergeCell ref="N183:N184"/>
    <mergeCell ref="O183:O184"/>
    <mergeCell ref="P183:P184"/>
    <mergeCell ref="E183:E184"/>
    <mergeCell ref="F183:F184"/>
    <mergeCell ref="G183:G184"/>
    <mergeCell ref="H183:H184"/>
    <mergeCell ref="I183:I184"/>
    <mergeCell ref="J183:J184"/>
    <mergeCell ref="A198:A199"/>
    <mergeCell ref="C198:C199"/>
    <mergeCell ref="D198:D199"/>
    <mergeCell ref="K183:K184"/>
    <mergeCell ref="L183:L184"/>
    <mergeCell ref="A183:A184"/>
    <mergeCell ref="C183:C184"/>
    <mergeCell ref="D183:D184"/>
    <mergeCell ref="Q183:Q184"/>
    <mergeCell ref="R183:R184"/>
    <mergeCell ref="S183:S184"/>
    <mergeCell ref="T183:T184"/>
    <mergeCell ref="U183:U184"/>
    <mergeCell ref="P198:P199"/>
    <mergeCell ref="E198:E199"/>
    <mergeCell ref="F198:F199"/>
    <mergeCell ref="G198:G199"/>
    <mergeCell ref="H198:H199"/>
    <mergeCell ref="I198:I199"/>
    <mergeCell ref="J198:J199"/>
    <mergeCell ref="K198:K199"/>
    <mergeCell ref="L198:L199"/>
    <mergeCell ref="M198:M199"/>
    <mergeCell ref="N198:N199"/>
    <mergeCell ref="O198:O199"/>
    <mergeCell ref="Q198:Q199"/>
    <mergeCell ref="R198:R199"/>
    <mergeCell ref="S198:S199"/>
    <mergeCell ref="T198:T199"/>
    <mergeCell ref="U198:U199"/>
  </mergeCells>
  <pageMargins left="0.7" right="0.7" top="0.75" bottom="0.75" header="0.3" footer="0.3"/>
  <pageSetup scale="31" orientation="landscape" verticalDpi="597"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Grupo Aval</vt:lpstr>
      <vt:lpstr>'Grupo Aval'!Área_de_impresión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Santiago Alejandro Fonseca Novoa</dc:creator>
  <cp:lastModifiedBy>Nicolás Noreña Trujillo</cp:lastModifiedBy>
  <dcterms:created xsi:type="dcterms:W3CDTF">2025-11-12T20:48:06Z</dcterms:created>
  <dcterms:modified xsi:type="dcterms:W3CDTF">2025-11-12T21:24:57Z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